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691" documentId="8_{10AE5259-BB0F-4835-81F1-FB97735D6349}" xr6:coauthVersionLast="47" xr6:coauthVersionMax="47" xr10:uidLastSave="{6E5F6686-B1EA-4CB8-B44F-D0667C64A959}"/>
  <bookViews>
    <workbookView xWindow="-16965" yWindow="-16320" windowWidth="29040" windowHeight="15840" xr2:uid="{00000000-000D-0000-FFFF-FFFF00000000}"/>
  </bookViews>
  <sheets>
    <sheet name="事前設定シート" sheetId="3" r:id="rId1"/>
    <sheet name="所要額調書①" sheetId="5" r:id="rId2"/>
    <sheet name="（記載例）所要額調書①" sheetId="22" r:id="rId3"/>
    <sheet name="所要額調書②" sheetId="17" r:id="rId4"/>
    <sheet name="（記載例）所要額調書②" sheetId="23" r:id="rId5"/>
    <sheet name="所要額調書③" sheetId="21" r:id="rId6"/>
    <sheet name="（記載例）所要額調書③" sheetId="24" r:id="rId7"/>
    <sheet name="所要額調書④" sheetId="20" r:id="rId8"/>
    <sheet name="（記載例）所要額調書④" sheetId="25" r:id="rId9"/>
    <sheet name="所要額調書⑤" sheetId="14" r:id="rId10"/>
    <sheet name="（記載例）所要額調書⑤" sheetId="26" r:id="rId11"/>
    <sheet name="所要額調書⑥" sheetId="13" r:id="rId12"/>
    <sheet name="（記載例）所要額調書⑥" sheetId="27" r:id="rId13"/>
    <sheet name="データリスト" sheetId="15" r:id="rId14"/>
  </sheets>
  <definedNames>
    <definedName name="_xlnm.Print_Area" localSheetId="2">'（記載例）所要額調書①'!$A$1:$R$25</definedName>
    <definedName name="_xlnm.Print_Area" localSheetId="4">'（記載例）所要額調書②'!$A$1:$R$25</definedName>
    <definedName name="_xlnm.Print_Area" localSheetId="6">'（記載例）所要額調書③'!$A$1:$Q$25</definedName>
    <definedName name="_xlnm.Print_Area" localSheetId="8">'（記載例）所要額調書④'!$A$1:$O$15</definedName>
    <definedName name="_xlnm.Print_Area" localSheetId="10">'（記載例）所要額調書⑤'!$A$1:$P$25</definedName>
    <definedName name="_xlnm.Print_Area" localSheetId="0">事前設定シート!$A$1:$I$32</definedName>
    <definedName name="_xlnm.Print_Area" localSheetId="1">所要額調書①!$A$1:$R$25</definedName>
    <definedName name="_xlnm.Print_Area" localSheetId="3">所要額調書②!$A$1:$R$25</definedName>
    <definedName name="_xlnm.Print_Area" localSheetId="5">所要額調書③!$A$1:$Q$25</definedName>
    <definedName name="_xlnm.Print_Area" localSheetId="7">所要額調書④!$A$1:$O$15</definedName>
    <definedName name="_xlnm.Print_Area" localSheetId="9">所要額調書⑤!$A$1:$P$25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5" l="1"/>
  <c r="C6" i="24"/>
  <c r="C6" i="23"/>
  <c r="D6" i="22"/>
  <c r="C4" i="20"/>
  <c r="D6" i="26"/>
  <c r="D6" i="14"/>
  <c r="C6" i="21"/>
  <c r="C6" i="17"/>
  <c r="D6" i="5"/>
  <c r="B12" i="3"/>
  <c r="I9" i="22"/>
  <c r="F24" i="14" l="1"/>
  <c r="F24" i="26" l="1"/>
  <c r="A14" i="3" l="1"/>
  <c r="A20" i="3" s="1"/>
  <c r="G21" i="26" l="1"/>
  <c r="F21" i="26"/>
  <c r="F14" i="20"/>
  <c r="E14" i="20"/>
  <c r="F14" i="25"/>
  <c r="E14" i="25"/>
  <c r="G14" i="27" l="1"/>
  <c r="E14" i="27"/>
  <c r="D14" i="27"/>
  <c r="I13" i="27"/>
  <c r="I12" i="27"/>
  <c r="I11" i="27"/>
  <c r="I10" i="27"/>
  <c r="I9" i="27"/>
  <c r="I14" i="27" s="1"/>
  <c r="F9" i="27"/>
  <c r="K20" i="26"/>
  <c r="M20" i="26" s="1"/>
  <c r="K19" i="26"/>
  <c r="M19" i="26" s="1"/>
  <c r="K18" i="26"/>
  <c r="M18" i="26" s="1"/>
  <c r="K17" i="26"/>
  <c r="M17" i="26" s="1"/>
  <c r="R16" i="26"/>
  <c r="Q16" i="26"/>
  <c r="M16" i="26"/>
  <c r="K16" i="26"/>
  <c r="Q15" i="26"/>
  <c r="R15" i="26" s="1"/>
  <c r="K15" i="26"/>
  <c r="M15" i="26" s="1"/>
  <c r="Q14" i="26"/>
  <c r="K14" i="26"/>
  <c r="M14" i="26" s="1"/>
  <c r="K13" i="26"/>
  <c r="M13" i="26" s="1"/>
  <c r="K12" i="26"/>
  <c r="M12" i="26" s="1"/>
  <c r="K11" i="26"/>
  <c r="M11" i="26" s="1"/>
  <c r="K10" i="26"/>
  <c r="M10" i="26" s="1"/>
  <c r="K9" i="26"/>
  <c r="H9" i="26"/>
  <c r="H21" i="26" s="1"/>
  <c r="P13" i="25"/>
  <c r="Q13" i="25" s="1"/>
  <c r="K13" i="25"/>
  <c r="M13" i="25" s="1"/>
  <c r="N13" i="25" s="1"/>
  <c r="O13" i="25" s="1"/>
  <c r="G13" i="25"/>
  <c r="P12" i="25"/>
  <c r="Q12" i="25" s="1"/>
  <c r="K12" i="25"/>
  <c r="M12" i="25" s="1"/>
  <c r="N12" i="25" s="1"/>
  <c r="O12" i="25" s="1"/>
  <c r="G12" i="25"/>
  <c r="P11" i="25"/>
  <c r="Q11" i="25" s="1"/>
  <c r="K11" i="25"/>
  <c r="M11" i="25" s="1"/>
  <c r="N11" i="25" s="1"/>
  <c r="O11" i="25" s="1"/>
  <c r="G11" i="25"/>
  <c r="P10" i="25"/>
  <c r="Q10" i="25" s="1"/>
  <c r="G10" i="25"/>
  <c r="P9" i="25"/>
  <c r="Q9" i="25" s="1"/>
  <c r="H9" i="25"/>
  <c r="K10" i="25" s="1"/>
  <c r="M10" i="25" s="1"/>
  <c r="N10" i="25" s="1"/>
  <c r="O10" i="25" s="1"/>
  <c r="G9" i="25"/>
  <c r="H24" i="24"/>
  <c r="G24" i="24"/>
  <c r="L23" i="24"/>
  <c r="N23" i="24" s="1"/>
  <c r="L22" i="24"/>
  <c r="N22" i="24" s="1"/>
  <c r="L21" i="24"/>
  <c r="N21" i="24" s="1"/>
  <c r="L20" i="24"/>
  <c r="N20" i="24" s="1"/>
  <c r="S19" i="24"/>
  <c r="R19" i="24"/>
  <c r="O19" i="24"/>
  <c r="P19" i="24" s="1"/>
  <c r="Q19" i="24" s="1"/>
  <c r="N19" i="24"/>
  <c r="L19" i="24"/>
  <c r="I19" i="24"/>
  <c r="L18" i="24"/>
  <c r="N18" i="24" s="1"/>
  <c r="L17" i="24"/>
  <c r="N17" i="24" s="1"/>
  <c r="L16" i="24"/>
  <c r="N16" i="24" s="1"/>
  <c r="L15" i="24"/>
  <c r="N15" i="24" s="1"/>
  <c r="S14" i="24"/>
  <c r="R14" i="24"/>
  <c r="O14" i="24"/>
  <c r="P14" i="24" s="1"/>
  <c r="Q14" i="24" s="1"/>
  <c r="L14" i="24"/>
  <c r="N14" i="24" s="1"/>
  <c r="I14" i="24"/>
  <c r="L13" i="24"/>
  <c r="N13" i="24" s="1"/>
  <c r="L12" i="24"/>
  <c r="N12" i="24" s="1"/>
  <c r="L11" i="24"/>
  <c r="N11" i="24" s="1"/>
  <c r="L10" i="24"/>
  <c r="N10" i="24" s="1"/>
  <c r="R9" i="24"/>
  <c r="S9" i="24" s="1"/>
  <c r="S24" i="24" s="1"/>
  <c r="A25" i="24" s="1"/>
  <c r="L9" i="24"/>
  <c r="N9" i="24" s="1"/>
  <c r="I9" i="24"/>
  <c r="I24" i="23"/>
  <c r="H24" i="23"/>
  <c r="M23" i="23"/>
  <c r="O23" i="23" s="1"/>
  <c r="M22" i="23"/>
  <c r="O22" i="23" s="1"/>
  <c r="M21" i="23"/>
  <c r="O21" i="23" s="1"/>
  <c r="M20" i="23"/>
  <c r="O20" i="23" s="1"/>
  <c r="T19" i="23"/>
  <c r="S19" i="23"/>
  <c r="P19" i="23"/>
  <c r="Q19" i="23" s="1"/>
  <c r="R19" i="23" s="1"/>
  <c r="M19" i="23"/>
  <c r="O19" i="23" s="1"/>
  <c r="J19" i="23"/>
  <c r="M18" i="23"/>
  <c r="O18" i="23" s="1"/>
  <c r="M17" i="23"/>
  <c r="O17" i="23" s="1"/>
  <c r="M16" i="23"/>
  <c r="O16" i="23" s="1"/>
  <c r="M15" i="23"/>
  <c r="O15" i="23" s="1"/>
  <c r="T14" i="23"/>
  <c r="S14" i="23"/>
  <c r="P14" i="23"/>
  <c r="Q14" i="23" s="1"/>
  <c r="R14" i="23" s="1"/>
  <c r="M14" i="23"/>
  <c r="O14" i="23" s="1"/>
  <c r="J14" i="23"/>
  <c r="M13" i="23"/>
  <c r="O13" i="23" s="1"/>
  <c r="M12" i="23"/>
  <c r="O12" i="23" s="1"/>
  <c r="M11" i="23"/>
  <c r="O11" i="23" s="1"/>
  <c r="M10" i="23"/>
  <c r="O10" i="23" s="1"/>
  <c r="S9" i="23"/>
  <c r="T9" i="23" s="1"/>
  <c r="T24" i="23" s="1"/>
  <c r="A25" i="23" s="1"/>
  <c r="M9" i="23"/>
  <c r="J9" i="23"/>
  <c r="J24" i="23" s="1"/>
  <c r="H24" i="22"/>
  <c r="G24" i="22"/>
  <c r="M23" i="22"/>
  <c r="O23" i="22" s="1"/>
  <c r="O22" i="22"/>
  <c r="M22" i="22"/>
  <c r="M21" i="22"/>
  <c r="O21" i="22" s="1"/>
  <c r="M20" i="22"/>
  <c r="O20" i="22" s="1"/>
  <c r="S19" i="22"/>
  <c r="T19" i="22" s="1"/>
  <c r="I19" i="22"/>
  <c r="M18" i="22"/>
  <c r="M17" i="22"/>
  <c r="O17" i="22" s="1"/>
  <c r="M16" i="22"/>
  <c r="O16" i="22" s="1"/>
  <c r="M15" i="22"/>
  <c r="O15" i="22" s="1"/>
  <c r="S14" i="22"/>
  <c r="T14" i="22" s="1"/>
  <c r="I14" i="22"/>
  <c r="M13" i="22"/>
  <c r="M12" i="22"/>
  <c r="M11" i="22"/>
  <c r="M10" i="22"/>
  <c r="S9" i="22"/>
  <c r="T9" i="22" s="1"/>
  <c r="J9" i="22"/>
  <c r="M9" i="22" s="1"/>
  <c r="O9" i="22" s="1"/>
  <c r="C16" i="3"/>
  <c r="H31" i="3"/>
  <c r="G31" i="3"/>
  <c r="F31" i="3"/>
  <c r="E31" i="3"/>
  <c r="D31" i="3"/>
  <c r="C31" i="3"/>
  <c r="B21" i="3"/>
  <c r="C22" i="3" s="1"/>
  <c r="C17" i="3"/>
  <c r="B15" i="3"/>
  <c r="I24" i="24" l="1"/>
  <c r="R14" i="26"/>
  <c r="R17" i="26" s="1"/>
  <c r="B22" i="26" s="1"/>
  <c r="F14" i="27"/>
  <c r="J9" i="27"/>
  <c r="J14" i="27" s="1"/>
  <c r="G14" i="25"/>
  <c r="K9" i="25"/>
  <c r="M9" i="25" s="1"/>
  <c r="N9" i="25" s="1"/>
  <c r="O9" i="25" s="1"/>
  <c r="O9" i="24"/>
  <c r="O24" i="24" s="1"/>
  <c r="M19" i="22"/>
  <c r="O19" i="22" s="1"/>
  <c r="P19" i="22" s="1"/>
  <c r="Q19" i="22" s="1"/>
  <c r="R19" i="22" s="1"/>
  <c r="O11" i="22"/>
  <c r="O12" i="22"/>
  <c r="O10" i="22"/>
  <c r="O13" i="22"/>
  <c r="M14" i="22"/>
  <c r="O14" i="22" s="1"/>
  <c r="O18" i="22"/>
  <c r="O24" i="22" s="1"/>
  <c r="K21" i="26"/>
  <c r="L24" i="24"/>
  <c r="M24" i="23"/>
  <c r="O9" i="23"/>
  <c r="P9" i="23" s="1"/>
  <c r="P24" i="23" s="1"/>
  <c r="I24" i="22"/>
  <c r="T24" i="22"/>
  <c r="B25" i="22" s="1"/>
  <c r="P9" i="22"/>
  <c r="M9" i="26"/>
  <c r="N9" i="26" s="1"/>
  <c r="Q14" i="25"/>
  <c r="B15" i="25" s="1"/>
  <c r="M14" i="25"/>
  <c r="K14" i="25"/>
  <c r="N24" i="24"/>
  <c r="M24" i="22"/>
  <c r="C23" i="3"/>
  <c r="H9" i="20"/>
  <c r="J9" i="5"/>
  <c r="P19" i="5"/>
  <c r="Q19" i="5" s="1"/>
  <c r="R19" i="5" s="1"/>
  <c r="P14" i="22" l="1"/>
  <c r="Q14" i="22" s="1"/>
  <c r="R14" i="22" s="1"/>
  <c r="K9" i="27"/>
  <c r="L9" i="27" s="1"/>
  <c r="L14" i="27" s="1"/>
  <c r="P9" i="24"/>
  <c r="Q9" i="24" s="1"/>
  <c r="Q24" i="24" s="1"/>
  <c r="M21" i="26"/>
  <c r="O9" i="26"/>
  <c r="P9" i="26" s="1"/>
  <c r="O24" i="23"/>
  <c r="Q9" i="23"/>
  <c r="Q9" i="22"/>
  <c r="K14" i="27"/>
  <c r="O14" i="25"/>
  <c r="N14" i="25"/>
  <c r="I9" i="5"/>
  <c r="I9" i="13"/>
  <c r="I13" i="13"/>
  <c r="I12" i="13"/>
  <c r="I11" i="13"/>
  <c r="I10" i="13"/>
  <c r="K9" i="14"/>
  <c r="M9" i="14" s="1"/>
  <c r="K10" i="14"/>
  <c r="M10" i="14" s="1"/>
  <c r="K11" i="14"/>
  <c r="M11" i="14" s="1"/>
  <c r="K12" i="14"/>
  <c r="M12" i="14" s="1"/>
  <c r="K13" i="14"/>
  <c r="M13" i="14" s="1"/>
  <c r="K20" i="14"/>
  <c r="M20" i="14" s="1"/>
  <c r="K18" i="14"/>
  <c r="M18" i="14" s="1"/>
  <c r="K19" i="14"/>
  <c r="M19" i="14" s="1"/>
  <c r="K17" i="14"/>
  <c r="M17" i="14" s="1"/>
  <c r="K15" i="14"/>
  <c r="M15" i="14" s="1"/>
  <c r="K16" i="14"/>
  <c r="M16" i="14" s="1"/>
  <c r="K14" i="14"/>
  <c r="M14" i="14" s="1"/>
  <c r="H9" i="14"/>
  <c r="K10" i="20"/>
  <c r="M10" i="20" s="1"/>
  <c r="N10" i="20" s="1"/>
  <c r="O10" i="20" s="1"/>
  <c r="K11" i="20"/>
  <c r="M11" i="20" s="1"/>
  <c r="N11" i="20" s="1"/>
  <c r="O11" i="20" s="1"/>
  <c r="K12" i="20"/>
  <c r="M12" i="20" s="1"/>
  <c r="N12" i="20" s="1"/>
  <c r="O12" i="20" s="1"/>
  <c r="K13" i="20"/>
  <c r="M13" i="20" s="1"/>
  <c r="N13" i="20" s="1"/>
  <c r="O13" i="20" s="1"/>
  <c r="G10" i="20"/>
  <c r="G11" i="20"/>
  <c r="G12" i="20"/>
  <c r="G13" i="20"/>
  <c r="G9" i="20"/>
  <c r="O14" i="21"/>
  <c r="P14" i="21" s="1"/>
  <c r="Q14" i="21" s="1"/>
  <c r="O19" i="21"/>
  <c r="P19" i="21" s="1"/>
  <c r="Q19" i="21" s="1"/>
  <c r="L14" i="21"/>
  <c r="N14" i="21" s="1"/>
  <c r="L15" i="21"/>
  <c r="N15" i="21" s="1"/>
  <c r="L16" i="21"/>
  <c r="N16" i="21" s="1"/>
  <c r="L17" i="21"/>
  <c r="N17" i="21" s="1"/>
  <c r="L18" i="21"/>
  <c r="N18" i="21" s="1"/>
  <c r="L19" i="21"/>
  <c r="N19" i="21" s="1"/>
  <c r="L20" i="21"/>
  <c r="N20" i="21" s="1"/>
  <c r="L21" i="21"/>
  <c r="N21" i="21" s="1"/>
  <c r="L22" i="21"/>
  <c r="N22" i="21" s="1"/>
  <c r="L23" i="21"/>
  <c r="N23" i="21" s="1"/>
  <c r="L11" i="21"/>
  <c r="N11" i="21" s="1"/>
  <c r="L12" i="21"/>
  <c r="N12" i="21" s="1"/>
  <c r="L10" i="21"/>
  <c r="N10" i="21" s="1"/>
  <c r="L13" i="21"/>
  <c r="N13" i="21" s="1"/>
  <c r="L9" i="21"/>
  <c r="N9" i="21" s="1"/>
  <c r="O9" i="21" s="1"/>
  <c r="P9" i="21" s="1"/>
  <c r="Q9" i="21" s="1"/>
  <c r="I14" i="21"/>
  <c r="I19" i="21"/>
  <c r="I9" i="21"/>
  <c r="P14" i="17"/>
  <c r="Q14" i="17" s="1"/>
  <c r="R14" i="17" s="1"/>
  <c r="P19" i="17"/>
  <c r="Q19" i="17" s="1"/>
  <c r="R19" i="17" s="1"/>
  <c r="M14" i="17"/>
  <c r="O14" i="17" s="1"/>
  <c r="M15" i="17"/>
  <c r="O15" i="17" s="1"/>
  <c r="M16" i="17"/>
  <c r="O16" i="17" s="1"/>
  <c r="M17" i="17"/>
  <c r="O17" i="17" s="1"/>
  <c r="M18" i="17"/>
  <c r="O18" i="17" s="1"/>
  <c r="M19" i="17"/>
  <c r="O19" i="17" s="1"/>
  <c r="M20" i="17"/>
  <c r="O20" i="17" s="1"/>
  <c r="M21" i="17"/>
  <c r="O21" i="17" s="1"/>
  <c r="M22" i="17"/>
  <c r="O22" i="17" s="1"/>
  <c r="M23" i="17"/>
  <c r="O23" i="17" s="1"/>
  <c r="M13" i="17"/>
  <c r="O13" i="17" s="1"/>
  <c r="M11" i="17"/>
  <c r="O11" i="17" s="1"/>
  <c r="M12" i="17"/>
  <c r="O12" i="17" s="1"/>
  <c r="M10" i="17"/>
  <c r="O10" i="17" s="1"/>
  <c r="M9" i="17"/>
  <c r="O9" i="17" s="1"/>
  <c r="J14" i="17"/>
  <c r="J19" i="17"/>
  <c r="J9" i="17"/>
  <c r="O20" i="5"/>
  <c r="O23" i="5"/>
  <c r="M15" i="5"/>
  <c r="M16" i="5"/>
  <c r="O16" i="5" s="1"/>
  <c r="M17" i="5"/>
  <c r="O17" i="5" s="1"/>
  <c r="M18" i="5"/>
  <c r="O18" i="5" s="1"/>
  <c r="M19" i="5"/>
  <c r="O19" i="5" s="1"/>
  <c r="M20" i="5"/>
  <c r="M21" i="5"/>
  <c r="O21" i="5" s="1"/>
  <c r="M22" i="5"/>
  <c r="O22" i="5" s="1"/>
  <c r="M23" i="5"/>
  <c r="M13" i="5"/>
  <c r="O13" i="5" s="1"/>
  <c r="O10" i="5"/>
  <c r="M11" i="5"/>
  <c r="O11" i="5" s="1"/>
  <c r="M12" i="5"/>
  <c r="O12" i="5" s="1"/>
  <c r="M10" i="5"/>
  <c r="I14" i="5"/>
  <c r="I19" i="5"/>
  <c r="Q16" i="14"/>
  <c r="Q15" i="14"/>
  <c r="R15" i="14" s="1"/>
  <c r="Q14" i="14"/>
  <c r="R14" i="14" s="1"/>
  <c r="R16" i="14"/>
  <c r="P11" i="20"/>
  <c r="H24" i="21"/>
  <c r="G24" i="21"/>
  <c r="S19" i="21"/>
  <c r="R19" i="21"/>
  <c r="S14" i="21"/>
  <c r="R14" i="21"/>
  <c r="R9" i="21"/>
  <c r="S9" i="21" s="1"/>
  <c r="I24" i="17"/>
  <c r="H24" i="17"/>
  <c r="H24" i="5"/>
  <c r="G24" i="5"/>
  <c r="P24" i="22" l="1"/>
  <c r="S24" i="21"/>
  <c r="A25" i="21" s="1"/>
  <c r="P24" i="24"/>
  <c r="Q24" i="23"/>
  <c r="R9" i="23"/>
  <c r="R24" i="23" s="1"/>
  <c r="R9" i="22"/>
  <c r="R24" i="22" s="1"/>
  <c r="G14" i="20"/>
  <c r="N9" i="14"/>
  <c r="O9" i="14" s="1"/>
  <c r="P9" i="14" s="1"/>
  <c r="Q24" i="22"/>
  <c r="P9" i="17"/>
  <c r="J24" i="17"/>
  <c r="I24" i="21"/>
  <c r="K21" i="14"/>
  <c r="R17" i="14"/>
  <c r="B22" i="14" s="1"/>
  <c r="M21" i="14"/>
  <c r="P24" i="21"/>
  <c r="L24" i="21"/>
  <c r="N24" i="21"/>
  <c r="Q9" i="17" l="1"/>
  <c r="R9" i="17" s="1"/>
  <c r="O24" i="21"/>
  <c r="Q24" i="21" l="1"/>
  <c r="P10" i="20" l="1"/>
  <c r="Q10" i="20" s="1"/>
  <c r="Q11" i="20"/>
  <c r="P12" i="20"/>
  <c r="Q12" i="20" s="1"/>
  <c r="P13" i="20"/>
  <c r="Q13" i="20" s="1"/>
  <c r="P9" i="20"/>
  <c r="Q9" i="20" s="1"/>
  <c r="Q14" i="20" l="1"/>
  <c r="B15" i="20" s="1"/>
  <c r="K9" i="20" l="1"/>
  <c r="M9" i="20" s="1"/>
  <c r="N9" i="20" s="1"/>
  <c r="O9" i="20" s="1"/>
  <c r="N14" i="20" l="1"/>
  <c r="K14" i="20"/>
  <c r="T19" i="17" l="1"/>
  <c r="S9" i="17"/>
  <c r="T9" i="17" s="1"/>
  <c r="T24" i="17" s="1"/>
  <c r="A25" i="17" s="1"/>
  <c r="S14" i="17"/>
  <c r="T14" i="17" s="1"/>
  <c r="S19" i="17"/>
  <c r="S14" i="5"/>
  <c r="S19" i="5"/>
  <c r="S9" i="5"/>
  <c r="T14" i="5" l="1"/>
  <c r="T19" i="5"/>
  <c r="T9" i="5"/>
  <c r="M9" i="5"/>
  <c r="O9" i="5" s="1"/>
  <c r="P9" i="5" s="1"/>
  <c r="Q9" i="5" l="1"/>
  <c r="R9" i="5" s="1"/>
  <c r="M14" i="5"/>
  <c r="O14" i="5" s="1"/>
  <c r="O15" i="5"/>
  <c r="T24" i="5"/>
  <c r="B25" i="5" s="1"/>
  <c r="P24" i="17"/>
  <c r="O24" i="17"/>
  <c r="O14" i="20"/>
  <c r="M14" i="20"/>
  <c r="Q24" i="17"/>
  <c r="M24" i="17"/>
  <c r="G14" i="13"/>
  <c r="E14" i="13"/>
  <c r="D14" i="13"/>
  <c r="F9" i="13"/>
  <c r="J9" i="13" s="1"/>
  <c r="G21" i="14"/>
  <c r="F21" i="14"/>
  <c r="J14" i="13" l="1"/>
  <c r="K9" i="13"/>
  <c r="L9" i="13" s="1"/>
  <c r="P14" i="5"/>
  <c r="I24" i="5"/>
  <c r="M24" i="5"/>
  <c r="H21" i="14"/>
  <c r="I14" i="13"/>
  <c r="F14" i="13"/>
  <c r="Q14" i="5" l="1"/>
  <c r="R14" i="5" s="1"/>
  <c r="O24" i="5"/>
  <c r="L14" i="13"/>
  <c r="P24" i="5"/>
  <c r="Q24" i="5" l="1"/>
  <c r="K14" i="13"/>
  <c r="R24" i="17"/>
  <c r="R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E1A75AF7-70BF-491F-A7F9-767F7A56DDB5}">
      <text>
        <r>
          <rPr>
            <b/>
            <sz val="11"/>
            <color indexed="81"/>
            <rFont val="MS P ゴシック"/>
            <family val="3"/>
            <charset val="128"/>
          </rPr>
          <t>「種別」と「使用目的」が同じものはどちらかしか補助対象になりません（エラーが出ます）。</t>
        </r>
      </text>
    </comment>
    <comment ref="F7" authorId="0" shapeId="0" xr:uid="{A6C15E91-CF2F-4243-A33A-3BA7C8665687}">
      <text>
        <r>
          <rPr>
            <b/>
            <sz val="11"/>
            <color indexed="81"/>
            <rFont val="MS P ゴシック"/>
            <family val="3"/>
            <charset val="128"/>
          </rPr>
          <t>必須項目</t>
        </r>
      </text>
    </comment>
    <comment ref="G7" authorId="0" shapeId="0" xr:uid="{B34CECF7-49FD-4590-8514-C1FF2DD8A3D9}">
      <text>
        <r>
          <rPr>
            <b/>
            <sz val="11"/>
            <color indexed="81"/>
            <rFont val="MS P ゴシック"/>
            <family val="3"/>
            <charset val="128"/>
          </rPr>
          <t>導入にかかった経費の全額を記載してください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J7" authorId="0" shapeId="0" xr:uid="{6A3C647B-5745-4DDF-A99D-B440EE7ECADC}">
      <text>
        <r>
          <rPr>
            <b/>
            <sz val="11"/>
            <color indexed="81"/>
            <rFont val="MS P ゴシック"/>
            <family val="3"/>
            <charset val="128"/>
          </rPr>
          <t>付帯費用の機器を除く</t>
        </r>
      </text>
    </comment>
    <comment ref="K9" authorId="0" shapeId="0" xr:uid="{DD38B4AE-6168-4D52-BF2B-7B021FBBCB91}">
      <text>
        <r>
          <rPr>
            <b/>
            <sz val="11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  <comment ref="K14" authorId="0" shapeId="0" xr:uid="{64609EF4-DB74-4428-98C4-69F001CEDD1C}">
      <text>
        <r>
          <rPr>
            <b/>
            <sz val="11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  <comment ref="K19" authorId="0" shapeId="0" xr:uid="{01BBCB6A-8113-41DB-96C8-22AF72841FE9}">
      <text>
        <r>
          <rPr>
            <b/>
            <sz val="11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ECCBD93E-0D6C-4EDD-9862-E65A4BC54575}">
      <text>
        <r>
          <rPr>
            <b/>
            <sz val="11"/>
            <color indexed="81"/>
            <rFont val="MS P ゴシック"/>
            <family val="3"/>
            <charset val="128"/>
          </rPr>
          <t>「使用目的」が同じものはどちらかしか補助対象になりません（エラーが出ます）。</t>
        </r>
      </text>
    </comment>
    <comment ref="E7" authorId="0" shapeId="0" xr:uid="{F59672E0-BF6F-43E5-A9EF-CF28C86A732F}">
      <text>
        <r>
          <rPr>
            <b/>
            <sz val="11"/>
            <color indexed="81"/>
            <rFont val="MS P ゴシック"/>
            <family val="3"/>
            <charset val="128"/>
          </rPr>
          <t>必須入力</t>
        </r>
      </text>
    </comment>
    <comment ref="G7" authorId="0" shapeId="0" xr:uid="{82F72EBD-B680-480E-9CA6-00127808596F}">
      <text>
        <r>
          <rPr>
            <b/>
            <sz val="11"/>
            <color indexed="81"/>
            <rFont val="MS P ゴシック"/>
            <family val="3"/>
            <charset val="128"/>
          </rPr>
          <t>必須項目</t>
        </r>
      </text>
    </comment>
    <comment ref="H7" authorId="0" shapeId="0" xr:uid="{A919F75B-858A-4D8A-888F-64E793C0CA15}">
      <text>
        <r>
          <rPr>
            <b/>
            <sz val="11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14E27ED0-6C9B-4774-99A7-0EEC403D4245}">
      <text>
        <r>
          <rPr>
            <b/>
            <sz val="11"/>
            <color indexed="81"/>
            <rFont val="MS P ゴシック"/>
            <family val="3"/>
            <charset val="128"/>
          </rPr>
          <t>「使用目的」が同じものはどちらかしか補助対象になりません（エラーが出ます）。</t>
        </r>
      </text>
    </comment>
    <comment ref="E7" authorId="0" shapeId="0" xr:uid="{056170FA-E5AA-43D3-B0D0-48A14A6BE82D}">
      <text>
        <r>
          <rPr>
            <b/>
            <sz val="11"/>
            <color indexed="81"/>
            <rFont val="MS P ゴシック"/>
            <family val="3"/>
            <charset val="128"/>
          </rPr>
          <t>必須入力</t>
        </r>
      </text>
    </comment>
    <comment ref="F7" authorId="0" shapeId="0" xr:uid="{CDD9A441-F4F2-4E19-B8CB-40381738D2ED}">
      <text>
        <r>
          <rPr>
            <b/>
            <sz val="11"/>
            <color indexed="81"/>
            <rFont val="MS P ゴシック"/>
            <family val="3"/>
            <charset val="128"/>
          </rPr>
          <t>必須項目</t>
        </r>
      </text>
    </comment>
    <comment ref="G7" authorId="0" shapeId="0" xr:uid="{B6E8CA47-95D4-4507-8CE2-AEC21450AED0}">
      <text>
        <r>
          <rPr>
            <b/>
            <sz val="11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F163C60C-3F2C-4225-955F-CF11F3616F24}">
      <text>
        <r>
          <rPr>
            <b/>
            <sz val="9"/>
            <color indexed="81"/>
            <rFont val="MS P ゴシック"/>
            <family val="3"/>
            <charset val="128"/>
          </rPr>
          <t>「使用目的」が同じものはどちらかしか補助対象になりません（エラーが出ます）。</t>
        </r>
      </text>
    </comment>
    <comment ref="D7" authorId="0" shapeId="0" xr:uid="{00EFA15E-14B0-4577-AE1C-B4C53F642E50}">
      <text>
        <r>
          <rPr>
            <b/>
            <sz val="9"/>
            <color indexed="81"/>
            <rFont val="MS P ゴシック"/>
            <family val="3"/>
            <charset val="128"/>
          </rPr>
          <t>必須項目</t>
        </r>
      </text>
    </comment>
    <comment ref="E7" authorId="0" shapeId="0" xr:uid="{14ACBAE3-860E-403E-83FA-9CCC4F9A1062}">
      <text>
        <r>
          <rPr>
            <b/>
            <sz val="9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  <comment ref="H7" authorId="0" shapeId="0" xr:uid="{9E8B487F-5A4A-4FD7-A31A-67F5BE375DD0}">
      <text>
        <r>
          <rPr>
            <b/>
            <sz val="11"/>
            <color indexed="81"/>
            <rFont val="MS P ゴシック"/>
            <family val="3"/>
            <charset val="128"/>
          </rPr>
          <t>付帯費用の機器を除く</t>
        </r>
      </text>
    </comment>
    <comment ref="I7" authorId="0" shapeId="0" xr:uid="{B4D3478F-91EE-4901-8FDE-82A01D7316F8}">
      <text>
        <r>
          <rPr>
            <b/>
            <sz val="9"/>
            <color indexed="81"/>
            <rFont val="MS P ゴシック"/>
            <family val="3"/>
            <charset val="128"/>
          </rPr>
          <t>導入台数上限を超える台数を入力するとエラーが出ます。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EB0FF803-70FC-4648-BD19-AEC3ABAF9D11}">
      <text>
        <r>
          <rPr>
            <b/>
            <sz val="9"/>
            <color indexed="81"/>
            <rFont val="MS P ゴシック"/>
            <family val="3"/>
            <charset val="128"/>
          </rPr>
          <t>「種別」と「連携目的」が同じものはどちらかしか補助対象になりません（エラーが出ます）。</t>
        </r>
      </text>
    </comment>
    <comment ref="F7" authorId="0" shapeId="0" xr:uid="{018DA99E-665B-4E11-BA11-56DDC7253A72}">
      <text>
        <r>
          <rPr>
            <b/>
            <sz val="9"/>
            <color indexed="81"/>
            <rFont val="MS P ゴシック"/>
            <family val="3"/>
            <charset val="128"/>
          </rPr>
          <t>導入にかかる経費の全額を記載してください。</t>
        </r>
      </text>
    </comment>
    <comment ref="B15" authorId="0" shapeId="0" xr:uid="{C17B2C33-48A6-45D4-964F-B1763DF06CA3}">
      <text>
        <r>
          <rPr>
            <b/>
            <sz val="9"/>
            <color indexed="81"/>
            <rFont val="MS P ゴシック"/>
            <family val="3"/>
            <charset val="128"/>
          </rPr>
          <t>パッケージ型導入支援で連携させる機器は、重点分野に該当する機器を１つ以上組み合わせる必要があります。
例）
・介護ソフト＋重点分野→パッケージ○
・介護ソフト＋その他（インカムなど）→パッケージ×
・介護ソフト＋重点分野＋その他（インカムなど）→パッケージ○</t>
        </r>
      </text>
    </comment>
    <comment ref="A24" authorId="0" shapeId="0" xr:uid="{18B64884-AA67-4AD2-A334-1576177D2627}">
      <text>
        <r>
          <rPr>
            <b/>
            <sz val="9"/>
            <color indexed="81"/>
            <rFont val="MS P ゴシック"/>
            <family val="3"/>
            <charset val="128"/>
          </rPr>
          <t>必須項目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1F06BBEA-1019-42E1-9933-268459D189CC}">
      <text>
        <r>
          <rPr>
            <b/>
            <sz val="9"/>
            <color indexed="81"/>
            <rFont val="MS P ゴシック"/>
            <family val="3"/>
            <charset val="128"/>
          </rPr>
          <t>導入にかかった経費の全額を記載してください。</t>
        </r>
      </text>
    </comment>
  </commentList>
</comments>
</file>

<file path=xl/sharedStrings.xml><?xml version="1.0" encoding="utf-8"?>
<sst xmlns="http://schemas.openxmlformats.org/spreadsheetml/2006/main" count="1103" uniqueCount="216">
  <si>
    <t>機器名</t>
    <rPh sb="0" eb="3">
      <t>キキメイ</t>
    </rPh>
    <phoneticPr fontId="1"/>
  </si>
  <si>
    <t>質問は以上です。</t>
    <rPh sb="0" eb="2">
      <t>シツモン</t>
    </rPh>
    <rPh sb="3" eb="5">
      <t>イジョウ</t>
    </rPh>
    <phoneticPr fontId="1"/>
  </si>
  <si>
    <t>補助金所要額調書（協議用）</t>
    <rPh sb="0" eb="3">
      <t>ホジョキン</t>
    </rPh>
    <rPh sb="3" eb="5">
      <t>ショヨウ</t>
    </rPh>
    <rPh sb="5" eb="6">
      <t>ガク</t>
    </rPh>
    <rPh sb="6" eb="8">
      <t>チョウショ</t>
    </rPh>
    <rPh sb="9" eb="12">
      <t>キョウギヨウ</t>
    </rPh>
    <phoneticPr fontId="1"/>
  </si>
  <si>
    <t>別紙１－２－①介護テクノロジー用</t>
    <rPh sb="0" eb="2">
      <t>ベッシ</t>
    </rPh>
    <rPh sb="7" eb="9">
      <t>カイゴ</t>
    </rPh>
    <rPh sb="15" eb="16">
      <t>ヨウ</t>
    </rPh>
    <phoneticPr fontId="1"/>
  </si>
  <si>
    <t>種別</t>
    <rPh sb="0" eb="2">
      <t>シュベツ</t>
    </rPh>
    <phoneticPr fontId="1"/>
  </si>
  <si>
    <t>区分：</t>
    <rPh sb="0" eb="2">
      <t>クブン</t>
    </rPh>
    <phoneticPr fontId="1"/>
  </si>
  <si>
    <t>重点分野に該当する介護テクノロジーの導入支援</t>
    <rPh sb="0" eb="4">
      <t>ジュウテンブンヤ</t>
    </rPh>
    <rPh sb="5" eb="7">
      <t>ガイトウ</t>
    </rPh>
    <rPh sb="9" eb="11">
      <t>カイゴ</t>
    </rPh>
    <rPh sb="18" eb="20">
      <t>ドウニュウ</t>
    </rPh>
    <rPh sb="20" eb="22">
      <t>シエン</t>
    </rPh>
    <phoneticPr fontId="1"/>
  </si>
  <si>
    <t>総事業費</t>
    <rPh sb="0" eb="4">
      <t>ソウジギョウヒ</t>
    </rPh>
    <phoneticPr fontId="1"/>
  </si>
  <si>
    <t>寄付金その他の収入</t>
    <rPh sb="0" eb="3">
      <t>キフキン</t>
    </rPh>
    <rPh sb="5" eb="6">
      <t>タ</t>
    </rPh>
    <rPh sb="7" eb="9">
      <t>シュウニュウ</t>
    </rPh>
    <phoneticPr fontId="1"/>
  </si>
  <si>
    <t>差引額</t>
    <rPh sb="0" eb="2">
      <t>サシヒキ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</si>
  <si>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</si>
  <si>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導入台数</t>
    <rPh sb="0" eb="2">
      <t>ドウニュウ</t>
    </rPh>
    <rPh sb="2" eb="4">
      <t>ダイスウ</t>
    </rPh>
    <phoneticPr fontId="1"/>
  </si>
  <si>
    <t>補助率</t>
    <rPh sb="0" eb="3">
      <t>ホジョリツ</t>
    </rPh>
    <phoneticPr fontId="1"/>
  </si>
  <si>
    <t>導入台数
上限</t>
    <rPh sb="0" eb="2">
      <t>ドウニュウ</t>
    </rPh>
    <rPh sb="2" eb="4">
      <t>ダイスウ</t>
    </rPh>
    <rPh sb="5" eb="7">
      <t>ジョウゲン</t>
    </rPh>
    <phoneticPr fontId="1"/>
  </si>
  <si>
    <t>介護テクノロジー</t>
    <rPh sb="0" eb="2">
      <t>カイゴ</t>
    </rPh>
    <phoneticPr fontId="1"/>
  </si>
  <si>
    <t>事業所
定員数</t>
    <rPh sb="0" eb="3">
      <t>ジギョウショ</t>
    </rPh>
    <rPh sb="4" eb="7">
      <t>テイインスウ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</si>
  <si>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</si>
  <si>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</si>
  <si>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別紙１－２－④その他用</t>
    <rPh sb="0" eb="2">
      <t>ベッシ</t>
    </rPh>
    <rPh sb="9" eb="10">
      <t>タ</t>
    </rPh>
    <rPh sb="10" eb="11">
      <t>ヨウ</t>
    </rPh>
    <phoneticPr fontId="1"/>
  </si>
  <si>
    <t>介護ソフト</t>
    <rPh sb="0" eb="2">
      <t>カイゴ</t>
    </rPh>
    <phoneticPr fontId="1"/>
  </si>
  <si>
    <t>職員数</t>
    <rPh sb="0" eb="3">
      <t>ショクインスウ</t>
    </rPh>
    <phoneticPr fontId="1"/>
  </si>
  <si>
    <t>業務改善支援</t>
    <rPh sb="0" eb="2">
      <t>ギョウム</t>
    </rPh>
    <rPh sb="2" eb="4">
      <t>カイゼン</t>
    </rPh>
    <rPh sb="4" eb="6">
      <t>シエン</t>
    </rPh>
    <phoneticPr fontId="1"/>
  </si>
  <si>
    <t>支援内容</t>
    <rPh sb="0" eb="2">
      <t>シエン</t>
    </rPh>
    <rPh sb="2" eb="4">
      <t>ナイヨウ</t>
    </rPh>
    <phoneticPr fontId="1"/>
  </si>
  <si>
    <t>介護テクノロジーのパッケージ型導入支援</t>
    <rPh sb="0" eb="2">
      <t>カイゴ</t>
    </rPh>
    <rPh sb="14" eb="15">
      <t>ガタ</t>
    </rPh>
    <rPh sb="15" eb="17">
      <t>ドウニュウ</t>
    </rPh>
    <rPh sb="17" eb="19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</si>
  <si>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</si>
  <si>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連携させる機器等</t>
    <rPh sb="0" eb="2">
      <t>レンケイ</t>
    </rPh>
    <rPh sb="5" eb="7">
      <t>キキ</t>
    </rPh>
    <rPh sb="7" eb="8">
      <t>トウ</t>
    </rPh>
    <phoneticPr fontId="1"/>
  </si>
  <si>
    <t>別紙１－２－⑤パッケージ</t>
    <rPh sb="0" eb="2">
      <t>ベッシ</t>
    </rPh>
    <phoneticPr fontId="1"/>
  </si>
  <si>
    <t>別紙１－２－②介護ソフト用（在宅系サービス）</t>
    <rPh sb="0" eb="2">
      <t>ベッシ</t>
    </rPh>
    <rPh sb="7" eb="9">
      <t>カイゴ</t>
    </rPh>
    <rPh sb="12" eb="13">
      <t>ヨウ</t>
    </rPh>
    <rPh sb="14" eb="16">
      <t>ザイタク</t>
    </rPh>
    <rPh sb="16" eb="17">
      <t>ケイ</t>
    </rPh>
    <phoneticPr fontId="1"/>
  </si>
  <si>
    <t>使用目的</t>
    <rPh sb="0" eb="2">
      <t>シヨウ</t>
    </rPh>
    <rPh sb="2" eb="4">
      <t>モクテキ</t>
    </rPh>
    <phoneticPr fontId="1"/>
  </si>
  <si>
    <t>機器等の名称</t>
    <rPh sb="0" eb="2">
      <t>キキ</t>
    </rPh>
    <rPh sb="2" eb="3">
      <t>トウ</t>
    </rPh>
    <rPh sb="4" eb="6">
      <t>メイショウ</t>
    </rPh>
    <phoneticPr fontId="1"/>
  </si>
  <si>
    <t>法人名：</t>
    <rPh sb="0" eb="2">
      <t>ホウジン</t>
    </rPh>
    <rPh sb="2" eb="3">
      <t>メイ</t>
    </rPh>
    <phoneticPr fontId="1"/>
  </si>
  <si>
    <t>代表者職・氏名：</t>
    <rPh sb="0" eb="3">
      <t>ダイヒョウシャ</t>
    </rPh>
    <rPh sb="3" eb="4">
      <t>ショク</t>
    </rPh>
    <rPh sb="5" eb="7">
      <t>シメイ</t>
    </rPh>
    <phoneticPr fontId="1"/>
  </si>
  <si>
    <t>事業所名：</t>
    <rPh sb="0" eb="3">
      <t>ジギョウショ</t>
    </rPh>
    <rPh sb="3" eb="4">
      <t>メイ</t>
    </rPh>
    <phoneticPr fontId="1"/>
  </si>
  <si>
    <t>サービス種別：</t>
    <rPh sb="4" eb="6">
      <t>シュベツ</t>
    </rPh>
    <phoneticPr fontId="1"/>
  </si>
  <si>
    <t>事業所番号：</t>
    <rPh sb="0" eb="3">
      <t>ジギョウショ</t>
    </rPh>
    <rPh sb="3" eb="5">
      <t>バンゴウ</t>
    </rPh>
    <phoneticPr fontId="1"/>
  </si>
  <si>
    <t>連携目的</t>
    <rPh sb="0" eb="2">
      <t>レンケイ</t>
    </rPh>
    <rPh sb="2" eb="4">
      <t>モクテキ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</si>
  <si>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</si>
  <si>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</si>
  <si>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</si>
  <si>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</si>
  <si>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</si>
  <si>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</si>
  <si>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サービス種別一覧</t>
    <rPh sb="4" eb="6">
      <t>シュベツ</t>
    </rPh>
    <rPh sb="6" eb="8">
      <t>イチラン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</si>
  <si>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</si>
  <si>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</si>
  <si>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</si>
  <si>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</si>
  <si>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</si>
  <si>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</si>
  <si>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</si>
  <si>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</si>
  <si>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</si>
  <si>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</si>
  <si>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</si>
  <si>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</si>
  <si>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</si>
  <si>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</si>
  <si>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</si>
  <si>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</si>
  <si>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</si>
  <si>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</si>
  <si>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</si>
  <si>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</si>
  <si>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</si>
  <si>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</si>
  <si>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phoneticPr fontId="1"/>
  </si>
  <si>
    <t>地域密着型特定施設入居者生活介護（短期利用）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"/>
  </si>
  <si>
    <t>認知症対応型共同生活介護（短期利用）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</si>
  <si>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</si>
  <si>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介護ロボットの種別と使用目的一覧</t>
    <rPh sb="0" eb="2">
      <t>カイゴ</t>
    </rPh>
    <rPh sb="7" eb="9">
      <t>シュベツ</t>
    </rPh>
    <rPh sb="10" eb="12">
      <t>シヨウ</t>
    </rPh>
    <rPh sb="12" eb="14">
      <t>モクテキ</t>
    </rPh>
    <rPh sb="14" eb="16">
      <t>イチラン</t>
    </rPh>
    <phoneticPr fontId="1"/>
  </si>
  <si>
    <t>種別</t>
    <rPh sb="0" eb="2">
      <t>シュベツ</t>
    </rPh>
    <phoneticPr fontId="1"/>
  </si>
  <si>
    <t>使用目的</t>
    <rPh sb="0" eb="2">
      <t>シヨウ</t>
    </rPh>
    <rPh sb="2" eb="4">
      <t>モクテキ</t>
    </rPh>
    <phoneticPr fontId="1"/>
  </si>
  <si>
    <t>移乗支援（装着）</t>
    <rPh sb="0" eb="2">
      <t>イジョウ</t>
    </rPh>
    <rPh sb="2" eb="4">
      <t>シエン</t>
    </rPh>
    <rPh sb="5" eb="7">
      <t>ソウチャク</t>
    </rPh>
    <phoneticPr fontId="1"/>
  </si>
  <si>
    <t>移乗支援（非装着）</t>
    <rPh sb="0" eb="2">
      <t>イジョウ</t>
    </rPh>
    <rPh sb="2" eb="4">
      <t>シエン</t>
    </rPh>
    <rPh sb="5" eb="6">
      <t>ヒ</t>
    </rPh>
    <rPh sb="6" eb="8">
      <t>ソウチャク</t>
    </rPh>
    <phoneticPr fontId="1"/>
  </si>
  <si>
    <t>移動支援（屋外）</t>
    <rPh sb="0" eb="2">
      <t>イドウ</t>
    </rPh>
    <rPh sb="2" eb="4">
      <t>シエン</t>
    </rPh>
    <rPh sb="5" eb="7">
      <t>オクガイ</t>
    </rPh>
    <phoneticPr fontId="1"/>
  </si>
  <si>
    <t>移動支援（屋内）</t>
    <rPh sb="0" eb="2">
      <t>イドウ</t>
    </rPh>
    <rPh sb="2" eb="4">
      <t>シエン</t>
    </rPh>
    <rPh sb="5" eb="7">
      <t>オクナイ</t>
    </rPh>
    <phoneticPr fontId="1"/>
  </si>
  <si>
    <t>移動支援（装着）</t>
    <rPh sb="0" eb="2">
      <t>イドウ</t>
    </rPh>
    <rPh sb="2" eb="4">
      <t>シエン</t>
    </rPh>
    <rPh sb="5" eb="7">
      <t>ソウチャク</t>
    </rPh>
    <phoneticPr fontId="1"/>
  </si>
  <si>
    <t>排泄支援（排泄予測・検知）</t>
    <rPh sb="0" eb="2">
      <t>ハイセツ</t>
    </rPh>
    <rPh sb="2" eb="4">
      <t>シエン</t>
    </rPh>
    <rPh sb="5" eb="7">
      <t>ハイセツ</t>
    </rPh>
    <rPh sb="7" eb="9">
      <t>ヨソク</t>
    </rPh>
    <rPh sb="10" eb="12">
      <t>ケンチ</t>
    </rPh>
    <phoneticPr fontId="1"/>
  </si>
  <si>
    <t>排泄支援（排泄物処理）</t>
    <rPh sb="0" eb="2">
      <t>ハイセツ</t>
    </rPh>
    <rPh sb="2" eb="4">
      <t>シエン</t>
    </rPh>
    <rPh sb="5" eb="8">
      <t>ハイセツブツ</t>
    </rPh>
    <rPh sb="8" eb="10">
      <t>ショリ</t>
    </rPh>
    <phoneticPr fontId="1"/>
  </si>
  <si>
    <t>排泄支援（動作支援）</t>
    <rPh sb="0" eb="2">
      <t>ハイセツ</t>
    </rPh>
    <rPh sb="2" eb="4">
      <t>シエン</t>
    </rPh>
    <rPh sb="5" eb="7">
      <t>ドウサ</t>
    </rPh>
    <rPh sb="7" eb="9">
      <t>シエン</t>
    </rPh>
    <phoneticPr fontId="1"/>
  </si>
  <si>
    <t>入浴支援</t>
    <rPh sb="0" eb="2">
      <t>ニュウヨク</t>
    </rPh>
    <rPh sb="2" eb="4">
      <t>シエン</t>
    </rPh>
    <phoneticPr fontId="1"/>
  </si>
  <si>
    <t>見守り・コミュニケーション（見守り（施設））</t>
    <rPh sb="0" eb="2">
      <t>ミマモ</t>
    </rPh>
    <rPh sb="14" eb="16">
      <t>ミマモ</t>
    </rPh>
    <rPh sb="18" eb="20">
      <t>シセツ</t>
    </rPh>
    <phoneticPr fontId="1"/>
  </si>
  <si>
    <t>見守り・コミュニケーション（見守り（在宅））</t>
    <rPh sb="0" eb="2">
      <t>ミマモ</t>
    </rPh>
    <rPh sb="14" eb="16">
      <t>ミマモ</t>
    </rPh>
    <rPh sb="18" eb="20">
      <t>ザイタク</t>
    </rPh>
    <phoneticPr fontId="1"/>
  </si>
  <si>
    <t>見守り・コミュニケーション（コミュニケーション）</t>
    <rPh sb="0" eb="2">
      <t>ミマモ</t>
    </rPh>
    <phoneticPr fontId="1"/>
  </si>
  <si>
    <t>機能訓練支援</t>
    <rPh sb="0" eb="2">
      <t>キノウ</t>
    </rPh>
    <rPh sb="2" eb="4">
      <t>クンレン</t>
    </rPh>
    <rPh sb="4" eb="6">
      <t>シエン</t>
    </rPh>
    <phoneticPr fontId="1"/>
  </si>
  <si>
    <t>食事・栄養管理支援</t>
    <rPh sb="0" eb="2">
      <t>ショクジ</t>
    </rPh>
    <rPh sb="3" eb="5">
      <t>エイヨウ</t>
    </rPh>
    <rPh sb="5" eb="7">
      <t>カンリ</t>
    </rPh>
    <rPh sb="7" eb="9">
      <t>シエン</t>
    </rPh>
    <phoneticPr fontId="1"/>
  </si>
  <si>
    <t>認知症生活支援・認知症ケア支援</t>
    <rPh sb="0" eb="3">
      <t>ニンチショウ</t>
    </rPh>
    <rPh sb="3" eb="5">
      <t>セイカツ</t>
    </rPh>
    <rPh sb="5" eb="7">
      <t>シエン</t>
    </rPh>
    <rPh sb="8" eb="11">
      <t>ニンチショウ</t>
    </rPh>
    <rPh sb="13" eb="15">
      <t>シエン</t>
    </rPh>
    <phoneticPr fontId="1"/>
  </si>
  <si>
    <t>その他（）</t>
    <rPh sb="2" eb="3">
      <t>タ</t>
    </rPh>
    <phoneticPr fontId="1"/>
  </si>
  <si>
    <t>その他の使用目的一覧</t>
    <rPh sb="2" eb="3">
      <t>タ</t>
    </rPh>
    <rPh sb="4" eb="6">
      <t>シヨウ</t>
    </rPh>
    <rPh sb="6" eb="8">
      <t>モクテキ</t>
    </rPh>
    <rPh sb="8" eb="10">
      <t>イチラン</t>
    </rPh>
    <phoneticPr fontId="1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</si>
  <si>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</si>
  <si>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</si>
  <si>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コミュニケーションの効率化</t>
    <rPh sb="10" eb="13">
      <t>コウリツカ</t>
    </rPh>
    <phoneticPr fontId="1"/>
  </si>
  <si>
    <t>バックオフィス業務の効率化</t>
    <rPh sb="7" eb="9">
      <t>ギョウム</t>
    </rPh>
    <rPh sb="10" eb="13">
      <t>コウリツカ</t>
    </rPh>
    <phoneticPr fontId="1"/>
  </si>
  <si>
    <t>バイタル測定</t>
    <rPh sb="4" eb="6">
      <t>ソクテイ</t>
    </rPh>
    <phoneticPr fontId="1"/>
  </si>
  <si>
    <t>調理・配膳支援</t>
    <rPh sb="0" eb="2">
      <t>チョウリ</t>
    </rPh>
    <rPh sb="3" eb="5">
      <t>ハイゼン</t>
    </rPh>
    <rPh sb="5" eb="7">
      <t>シエン</t>
    </rPh>
    <phoneticPr fontId="1"/>
  </si>
  <si>
    <t>福祉用具による生産性向上</t>
    <rPh sb="0" eb="2">
      <t>フクシ</t>
    </rPh>
    <rPh sb="2" eb="4">
      <t>ヨウグ</t>
    </rPh>
    <rPh sb="7" eb="10">
      <t>セイサンセイ</t>
    </rPh>
    <rPh sb="10" eb="12">
      <t>コウジョウ</t>
    </rPh>
    <phoneticPr fontId="1"/>
  </si>
  <si>
    <t>パッケージ型の連携目的一覧</t>
    <rPh sb="5" eb="6">
      <t>ガタ</t>
    </rPh>
    <rPh sb="7" eb="9">
      <t>レンケイ</t>
    </rPh>
    <rPh sb="9" eb="11">
      <t>モクテキ</t>
    </rPh>
    <rPh sb="11" eb="13">
      <t>イチラン</t>
    </rPh>
    <phoneticPr fontId="1"/>
  </si>
  <si>
    <t>Wi-Fi環境整備</t>
    <rPh sb="5" eb="7">
      <t>カンキョウ</t>
    </rPh>
    <rPh sb="7" eb="9">
      <t>セイビ</t>
    </rPh>
    <phoneticPr fontId="1"/>
  </si>
  <si>
    <t>情報端末</t>
    <rPh sb="0" eb="2">
      <t>ジョウホウ</t>
    </rPh>
    <rPh sb="2" eb="4">
      <t>タンマツ</t>
    </rPh>
    <phoneticPr fontId="1"/>
  </si>
  <si>
    <t>文書量の削減</t>
    <rPh sb="0" eb="2">
      <t>ブンショ</t>
    </rPh>
    <rPh sb="2" eb="3">
      <t>リョウ</t>
    </rPh>
    <rPh sb="4" eb="6">
      <t>サクゲン</t>
    </rPh>
    <phoneticPr fontId="1"/>
  </si>
  <si>
    <t>連携目的</t>
    <rPh sb="0" eb="2">
      <t>レンケイ</t>
    </rPh>
    <rPh sb="2" eb="4">
      <t>モクテキ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</si>
  <si>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</si>
  <si>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</si>
  <si>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</si>
  <si>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</si>
  <si>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</si>
  <si>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介護予防入所療養介護（介護療養型医療施設等）</t>
    <rPh sb="0" eb="2">
      <t>カイゴ</t>
    </rPh>
    <rPh sb="2" eb="4">
      <t>ヨボウ</t>
    </rPh>
    <rPh sb="4" eb="6">
      <t>ニュウショ</t>
    </rPh>
    <rPh sb="6" eb="8">
      <t>リョウヨウ</t>
    </rPh>
    <rPh sb="8" eb="10">
      <t>カイゴ</t>
    </rPh>
    <rPh sb="11" eb="13">
      <t>カイゴ</t>
    </rPh>
    <rPh sb="13" eb="16">
      <t>リョウヨウガタ</t>
    </rPh>
    <rPh sb="16" eb="18">
      <t>イリョウ</t>
    </rPh>
    <rPh sb="18" eb="20">
      <t>シセツ</t>
    </rPh>
    <rPh sb="20" eb="21">
      <t>トウ</t>
    </rPh>
    <phoneticPr fontId="1"/>
  </si>
  <si>
    <t>介護予防入所療養介護（介護老人保健施設）</t>
    <rPh sb="0" eb="2">
      <t>カイゴ</t>
    </rPh>
    <rPh sb="2" eb="4">
      <t>ヨボウ</t>
    </rPh>
    <rPh sb="4" eb="6">
      <t>ニュウショ</t>
    </rPh>
    <rPh sb="6" eb="8">
      <t>リョウヨウ</t>
    </rPh>
    <rPh sb="8" eb="10">
      <t>カイゴ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1"/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</si>
  <si>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</si>
  <si>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</si>
  <si>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介護予防小規模多機能型居宅介護（短期利用）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rPh sb="16" eb="18">
      <t>タンキ</t>
    </rPh>
    <rPh sb="18" eb="20">
      <t>リヨウ</t>
    </rPh>
    <phoneticPr fontId="1"/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</si>
  <si>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</si>
  <si>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</si>
  <si>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訪問型サービス（みなし）</t>
    <rPh sb="0" eb="2">
      <t>ホウモン</t>
    </rPh>
    <rPh sb="2" eb="3">
      <t>ガタ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</si>
  <si>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</si>
  <si>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訪問型サービス（独自／定率）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</si>
  <si>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訪問型サービス（独自／定額）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</si>
  <si>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通所型サービス（みなし）</t>
    <rPh sb="0" eb="2">
      <t>ツウショ</t>
    </rPh>
    <rPh sb="2" eb="3">
      <t>ガタ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</si>
  <si>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</si>
  <si>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通所型サービス（独自／定率）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</si>
  <si>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通所型サービス（独自／定額）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</si>
  <si>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その他（）</t>
    <rPh sb="2" eb="3">
      <t>タ</t>
    </rPh>
    <phoneticPr fontId="1"/>
  </si>
  <si>
    <t>記録業務に要する時間の短縮</t>
    <rPh sb="0" eb="2">
      <t>キロク</t>
    </rPh>
    <rPh sb="2" eb="4">
      <t>ギョウム</t>
    </rPh>
    <rPh sb="5" eb="6">
      <t>ヨウ</t>
    </rPh>
    <rPh sb="8" eb="10">
      <t>ジカン</t>
    </rPh>
    <rPh sb="11" eb="13">
      <t>タンシュク</t>
    </rPh>
    <phoneticPr fontId="1"/>
  </si>
  <si>
    <t>事業所内の情報共有の効率化</t>
    <rPh sb="0" eb="3">
      <t>ジギョウショ</t>
    </rPh>
    <rPh sb="3" eb="4">
      <t>ナイ</t>
    </rPh>
    <rPh sb="5" eb="7">
      <t>ジョウホウ</t>
    </rPh>
    <rPh sb="7" eb="9">
      <t>キョウユウ</t>
    </rPh>
    <rPh sb="10" eb="13">
      <t>コウリツカ</t>
    </rPh>
    <phoneticPr fontId="1"/>
  </si>
  <si>
    <t>職員の心理的負担の軽減</t>
    <rPh sb="0" eb="2">
      <t>ショクイン</t>
    </rPh>
    <rPh sb="3" eb="6">
      <t>シンリテキ</t>
    </rPh>
    <rPh sb="6" eb="8">
      <t>フタン</t>
    </rPh>
    <rPh sb="9" eb="11">
      <t>ケイゲン</t>
    </rPh>
    <phoneticPr fontId="1"/>
  </si>
  <si>
    <t>正確かつ十分な記録のため</t>
    <rPh sb="0" eb="2">
      <t>セイカク</t>
    </rPh>
    <rPh sb="4" eb="6">
      <t>ジュウブン</t>
    </rPh>
    <rPh sb="7" eb="9">
      <t>キロク</t>
    </rPh>
    <phoneticPr fontId="1"/>
  </si>
  <si>
    <t>他事業所との情報共有の効率化</t>
    <rPh sb="0" eb="1">
      <t>タ</t>
    </rPh>
    <rPh sb="1" eb="4">
      <t>ジギョウショ</t>
    </rPh>
    <rPh sb="6" eb="8">
      <t>ジョウホウ</t>
    </rPh>
    <rPh sb="8" eb="10">
      <t>キョウユウ</t>
    </rPh>
    <rPh sb="11" eb="14">
      <t>コウリツカ</t>
    </rPh>
    <phoneticPr fontId="1"/>
  </si>
  <si>
    <t>超過勤務の削減</t>
    <rPh sb="0" eb="2">
      <t>チョウカ</t>
    </rPh>
    <rPh sb="2" eb="4">
      <t>キンム</t>
    </rPh>
    <rPh sb="5" eb="7">
      <t>サクゲン</t>
    </rPh>
    <phoneticPr fontId="1"/>
  </si>
  <si>
    <t>コンサルティング会社等による業務改善支援</t>
    <rPh sb="8" eb="10">
      <t>ガイシャ</t>
    </rPh>
    <rPh sb="10" eb="11">
      <t>トウ</t>
    </rPh>
    <rPh sb="14" eb="16">
      <t>ギョウム</t>
    </rPh>
    <rPh sb="16" eb="18">
      <t>カイゼン</t>
    </rPh>
    <rPh sb="18" eb="20">
      <t>シエン</t>
    </rPh>
    <phoneticPr fontId="1"/>
  </si>
  <si>
    <t>補助基準額
（上限額）</t>
    <rPh sb="0" eb="2">
      <t>ホジョ</t>
    </rPh>
    <rPh sb="2" eb="4">
      <t>キジュン</t>
    </rPh>
    <rPh sb="4" eb="5">
      <t>ガク</t>
    </rPh>
    <rPh sb="7" eb="9">
      <t>ジョウゲン</t>
    </rPh>
    <rPh sb="9" eb="10">
      <t>ガク</t>
    </rPh>
    <phoneticPr fontId="1"/>
  </si>
  <si>
    <t>寄付金その他収入</t>
    <rPh sb="0" eb="3">
      <t>キフキン</t>
    </rPh>
    <rPh sb="5" eb="6">
      <t>タ</t>
    </rPh>
    <rPh sb="6" eb="8">
      <t>シュウニュウ</t>
    </rPh>
    <phoneticPr fontId="1"/>
  </si>
  <si>
    <t>差引額</t>
    <rPh sb="0" eb="3">
      <t>サシヒキガク</t>
    </rPh>
    <phoneticPr fontId="1"/>
  </si>
  <si>
    <t>TAIS掲載の
有無</t>
    <rPh sb="4" eb="6">
      <t>ケイサイ</t>
    </rPh>
    <rPh sb="8" eb="10">
      <t>ウム</t>
    </rPh>
    <phoneticPr fontId="1"/>
  </si>
  <si>
    <t>付帯費用（情報端末①）</t>
    <rPh sb="0" eb="2">
      <t>フタイ</t>
    </rPh>
    <rPh sb="2" eb="4">
      <t>ヒヨウ</t>
    </rPh>
    <rPh sb="5" eb="7">
      <t>ジョウホウ</t>
    </rPh>
    <rPh sb="7" eb="9">
      <t>タンマツ</t>
    </rPh>
    <phoneticPr fontId="1"/>
  </si>
  <si>
    <t>付帯費用（情報端末②）</t>
    <rPh sb="0" eb="2">
      <t>フタイ</t>
    </rPh>
    <rPh sb="2" eb="4">
      <t>ヒヨウ</t>
    </rPh>
    <rPh sb="5" eb="7">
      <t>ジョウホウ</t>
    </rPh>
    <rPh sb="7" eb="9">
      <t>タンマツ</t>
    </rPh>
    <phoneticPr fontId="1"/>
  </si>
  <si>
    <t>付帯費用（情報端末③）</t>
    <rPh sb="0" eb="2">
      <t>フタイ</t>
    </rPh>
    <rPh sb="2" eb="4">
      <t>ヒヨウ</t>
    </rPh>
    <rPh sb="5" eb="7">
      <t>ジョウホウ</t>
    </rPh>
    <rPh sb="7" eb="9">
      <t>タンマツ</t>
    </rPh>
    <phoneticPr fontId="1"/>
  </si>
  <si>
    <t>付帯費用（情報端末以外）</t>
    <rPh sb="0" eb="2">
      <t>フタイ</t>
    </rPh>
    <rPh sb="2" eb="4">
      <t>ヒヨウ</t>
    </rPh>
    <rPh sb="5" eb="7">
      <t>ジョウホウ</t>
    </rPh>
    <rPh sb="7" eb="9">
      <t>タンマツ</t>
    </rPh>
    <rPh sb="9" eb="11">
      <t>イガイ</t>
    </rPh>
    <phoneticPr fontId="1"/>
  </si>
  <si>
    <t>1台（1式）
あたりの金額（税込）</t>
    <rPh sb="1" eb="2">
      <t>ダイ</t>
    </rPh>
    <rPh sb="4" eb="5">
      <t>シキ</t>
    </rPh>
    <rPh sb="11" eb="13">
      <t>キンガク</t>
    </rPh>
    <rPh sb="14" eb="16">
      <t>ゼイコ</t>
    </rPh>
    <phoneticPr fontId="1"/>
  </si>
  <si>
    <t>介護ソフト名、機器名</t>
    <rPh sb="0" eb="2">
      <t>カイゴ</t>
    </rPh>
    <rPh sb="5" eb="6">
      <t>メイ</t>
    </rPh>
    <rPh sb="7" eb="10">
      <t>キキメイ</t>
    </rPh>
    <phoneticPr fontId="1"/>
  </si>
  <si>
    <t>5事業所以上とデータ連携を実施</t>
  </si>
  <si>
    <t>ケアプランデータ
連携システム</t>
    <rPh sb="9" eb="11">
      <t>レンケイ</t>
    </rPh>
    <phoneticPr fontId="1"/>
  </si>
  <si>
    <t>契約形態</t>
    <rPh sb="0" eb="2">
      <t>ケイヤク</t>
    </rPh>
    <rPh sb="2" eb="4">
      <t>ケイタイ</t>
    </rPh>
    <phoneticPr fontId="1"/>
  </si>
  <si>
    <t>1台
あたりの金額（税込）</t>
    <rPh sb="1" eb="2">
      <t>ダイ</t>
    </rPh>
    <rPh sb="7" eb="9">
      <t>キンガク</t>
    </rPh>
    <rPh sb="10" eb="12">
      <t>ゼイコ</t>
    </rPh>
    <phoneticPr fontId="1"/>
  </si>
  <si>
    <t>総事業費</t>
    <rPh sb="0" eb="1">
      <t>ソウ</t>
    </rPh>
    <rPh sb="1" eb="4">
      <t>ジギョウヒ</t>
    </rPh>
    <phoneticPr fontId="1"/>
  </si>
  <si>
    <t>A</t>
    <phoneticPr fontId="1"/>
  </si>
  <si>
    <t>B</t>
    <phoneticPr fontId="1"/>
  </si>
  <si>
    <t>C(A-B)</t>
    <phoneticPr fontId="1"/>
  </si>
  <si>
    <t>D</t>
    <phoneticPr fontId="1"/>
  </si>
  <si>
    <t>E</t>
    <phoneticPr fontId="1"/>
  </si>
  <si>
    <t>F(D×E)</t>
    <phoneticPr fontId="1"/>
  </si>
  <si>
    <t>G(F×3/4)</t>
    <phoneticPr fontId="1"/>
  </si>
  <si>
    <t>H</t>
    <phoneticPr fontId="1"/>
  </si>
  <si>
    <t>I</t>
    <phoneticPr fontId="1"/>
  </si>
  <si>
    <t>総事業費</t>
    <rPh sb="0" eb="1">
      <t>ソウ</t>
    </rPh>
    <rPh sb="1" eb="4">
      <t>ジギョウヒ</t>
    </rPh>
    <phoneticPr fontId="1"/>
  </si>
  <si>
    <t>寄付金その他収入</t>
    <rPh sb="0" eb="3">
      <t>キフキン</t>
    </rPh>
    <rPh sb="5" eb="8">
      <t>タシュウニュウ</t>
    </rPh>
    <phoneticPr fontId="1"/>
  </si>
  <si>
    <t>差引額</t>
    <rPh sb="0" eb="3">
      <t>サシヒキガク</t>
    </rPh>
    <phoneticPr fontId="1"/>
  </si>
  <si>
    <t>情報端末①</t>
    <rPh sb="0" eb="2">
      <t>ジョウホウ</t>
    </rPh>
    <rPh sb="2" eb="4">
      <t>タンマツ</t>
    </rPh>
    <phoneticPr fontId="1"/>
  </si>
  <si>
    <t>情報端末②</t>
    <rPh sb="0" eb="2">
      <t>ジョウホウ</t>
    </rPh>
    <rPh sb="2" eb="4">
      <t>タンマツ</t>
    </rPh>
    <phoneticPr fontId="1"/>
  </si>
  <si>
    <t>情報端末③</t>
    <rPh sb="0" eb="2">
      <t>ジョウホウ</t>
    </rPh>
    <rPh sb="2" eb="4">
      <t>タンマツ</t>
    </rPh>
    <phoneticPr fontId="1"/>
  </si>
  <si>
    <t>情報端末以外</t>
    <rPh sb="0" eb="2">
      <t>ジョウホウ</t>
    </rPh>
    <rPh sb="2" eb="4">
      <t>タンマツ</t>
    </rPh>
    <rPh sb="4" eb="6">
      <t>イガイ</t>
    </rPh>
    <phoneticPr fontId="1"/>
  </si>
  <si>
    <t>補助対象額</t>
    <rPh sb="0" eb="2">
      <t>ホジョ</t>
    </rPh>
    <rPh sb="2" eb="5">
      <t>タイショウガク</t>
    </rPh>
    <phoneticPr fontId="1"/>
  </si>
  <si>
    <t>補助対象額
計</t>
    <rPh sb="0" eb="2">
      <t>ホジョ</t>
    </rPh>
    <rPh sb="2" eb="5">
      <t>タイショウガク</t>
    </rPh>
    <rPh sb="6" eb="7">
      <t>ケイ</t>
    </rPh>
    <phoneticPr fontId="1"/>
  </si>
  <si>
    <t>C,H,Iのうち
最も少ない額</t>
    <rPh sb="9" eb="10">
      <t>モット</t>
    </rPh>
    <rPh sb="11" eb="12">
      <t>スク</t>
    </rPh>
    <rPh sb="14" eb="15">
      <t>ガク</t>
    </rPh>
    <phoneticPr fontId="1"/>
  </si>
  <si>
    <t>G</t>
    <phoneticPr fontId="1"/>
  </si>
  <si>
    <t>C,G,Hのうち
最も少ない額</t>
    <rPh sb="9" eb="10">
      <t>モット</t>
    </rPh>
    <rPh sb="11" eb="12">
      <t>スク</t>
    </rPh>
    <rPh sb="14" eb="15">
      <t>ガク</t>
    </rPh>
    <phoneticPr fontId="1"/>
  </si>
  <si>
    <t>H(Gの合計)</t>
    <rPh sb="4" eb="6">
      <t>ゴウケイ</t>
    </rPh>
    <phoneticPr fontId="1"/>
  </si>
  <si>
    <t>E(D×3/4)</t>
    <phoneticPr fontId="1"/>
  </si>
  <si>
    <t>F(Eの合計)</t>
    <rPh sb="4" eb="6">
      <t>ゴウケイ</t>
    </rPh>
    <phoneticPr fontId="1"/>
  </si>
  <si>
    <t>C,F,Gのうち
最も少ない額</t>
    <rPh sb="9" eb="10">
      <t>モット</t>
    </rPh>
    <rPh sb="11" eb="12">
      <t>スク</t>
    </rPh>
    <rPh sb="14" eb="15">
      <t>ガク</t>
    </rPh>
    <phoneticPr fontId="1"/>
  </si>
  <si>
    <t>その他</t>
    <rPh sb="2" eb="3">
      <t>タ</t>
    </rPh>
    <phoneticPr fontId="1"/>
  </si>
  <si>
    <t>業務改善支援</t>
    <rPh sb="0" eb="2">
      <t>ギョウム</t>
    </rPh>
    <rPh sb="2" eb="4">
      <t>カイゼン</t>
    </rPh>
    <rPh sb="4" eb="6">
      <t>シエン</t>
    </rPh>
    <phoneticPr fontId="1"/>
  </si>
  <si>
    <t>所要額調書①</t>
    <rPh sb="0" eb="5">
      <t>ショヨウガクチョウショ</t>
    </rPh>
    <phoneticPr fontId="1"/>
  </si>
  <si>
    <t>所要額調書②</t>
    <rPh sb="0" eb="5">
      <t>ショヨウガクチョウショ</t>
    </rPh>
    <phoneticPr fontId="1"/>
  </si>
  <si>
    <t>所要額調書③</t>
    <rPh sb="0" eb="5">
      <t>ショヨウガクチョウショ</t>
    </rPh>
    <phoneticPr fontId="1"/>
  </si>
  <si>
    <t>所要額調書④</t>
    <rPh sb="0" eb="5">
      <t>ショヨウガクチョウショ</t>
    </rPh>
    <phoneticPr fontId="1"/>
  </si>
  <si>
    <t>所要額調書⑤</t>
    <rPh sb="0" eb="5">
      <t>ショヨウガクチョウショ</t>
    </rPh>
    <phoneticPr fontId="1"/>
  </si>
  <si>
    <t>所要額調書⑥</t>
    <rPh sb="0" eb="5">
      <t>ショヨウガクチョウショ</t>
    </rPh>
    <phoneticPr fontId="1"/>
  </si>
  <si>
    <t>区分：重点分野に該当する介護テクノロジーの導入支援</t>
    <rPh sb="0" eb="2">
      <t>クブン</t>
    </rPh>
    <phoneticPr fontId="1"/>
  </si>
  <si>
    <t>介護テクノロジーのパッケージ型導入支援</t>
    <rPh sb="0" eb="2">
      <t>カイゴ</t>
    </rPh>
    <rPh sb="14" eb="19">
      <t>ガタドウニュウシエン</t>
    </rPh>
    <phoneticPr fontId="1"/>
  </si>
  <si>
    <t>重点分野に該当する介護テクノロジーの導入支援</t>
    <rPh sb="0" eb="4">
      <t>ジュウテンブンヤ</t>
    </rPh>
    <rPh sb="5" eb="7">
      <t>ガイトウ</t>
    </rPh>
    <rPh sb="9" eb="11">
      <t>カイゴ</t>
    </rPh>
    <rPh sb="18" eb="20">
      <t>ドウニュウ</t>
    </rPh>
    <rPh sb="20" eb="22">
      <t>シエン</t>
    </rPh>
    <phoneticPr fontId="1"/>
  </si>
  <si>
    <t>県補助金所要額
（協議額）</t>
    <rPh sb="0" eb="1">
      <t>ケン</t>
    </rPh>
    <rPh sb="1" eb="4">
      <t>ホジョキン</t>
    </rPh>
    <rPh sb="4" eb="7">
      <t>ショヨウガク</t>
    </rPh>
    <rPh sb="9" eb="11">
      <t>キョウギ</t>
    </rPh>
    <rPh sb="11" eb="12">
      <t>ガク</t>
    </rPh>
    <phoneticPr fontId="1"/>
  </si>
  <si>
    <t>見守り・コミュニケーション（施設）</t>
  </si>
  <si>
    <t>○○社○○センサー</t>
    <rPh sb="2" eb="3">
      <t>シャ</t>
    </rPh>
    <phoneticPr fontId="1"/>
  </si>
  <si>
    <t>有</t>
  </si>
  <si>
    <t>○○社製タブレット</t>
    <rPh sb="2" eb="4">
      <t>シャセイ</t>
    </rPh>
    <phoneticPr fontId="1"/>
  </si>
  <si>
    <t>○○社製スマートフォン</t>
    <rPh sb="2" eb="4">
      <t>シャセイ</t>
    </rPh>
    <phoneticPr fontId="1"/>
  </si>
  <si>
    <t>○○社製パソコン</t>
    <rPh sb="2" eb="4">
      <t>シャセイ</t>
    </rPh>
    <phoneticPr fontId="1"/>
  </si>
  <si>
    <t>Wi-Fi工事</t>
    <rPh sb="5" eb="7">
      <t>コウジ</t>
    </rPh>
    <phoneticPr fontId="1"/>
  </si>
  <si>
    <t>入浴支援</t>
  </si>
  <si>
    <t>○○社○○リフト</t>
    <rPh sb="2" eb="3">
      <t>シャ</t>
    </rPh>
    <phoneticPr fontId="1"/>
  </si>
  <si>
    <t>無</t>
  </si>
  <si>
    <t>○○社製○○スーツ</t>
    <rPh sb="2" eb="4">
      <t>シャセイ</t>
    </rPh>
    <phoneticPr fontId="1"/>
  </si>
  <si>
    <t>移乗支援（装着）</t>
  </si>
  <si>
    <t>○○社製介護ソフト</t>
    <rPh sb="2" eb="4">
      <t>シャセイ</t>
    </rPh>
    <rPh sb="4" eb="6">
      <t>カイゴ</t>
    </rPh>
    <phoneticPr fontId="1"/>
  </si>
  <si>
    <t>職員数により合計金額が変動する</t>
  </si>
  <si>
    <t>○○社製インカム</t>
    <rPh sb="2" eb="4">
      <t>シャセイ</t>
    </rPh>
    <phoneticPr fontId="1"/>
  </si>
  <si>
    <t>○○社製温冷機能付き配膳車</t>
    <rPh sb="0" eb="4">
      <t>マルマルシャセイ</t>
    </rPh>
    <rPh sb="4" eb="6">
      <t>オンレイ</t>
    </rPh>
    <rPh sb="6" eb="8">
      <t>キノウ</t>
    </rPh>
    <rPh sb="8" eb="9">
      <t>ツ</t>
    </rPh>
    <rPh sb="10" eb="12">
      <t>ハイゼン</t>
    </rPh>
    <rPh sb="12" eb="13">
      <t>シャ</t>
    </rPh>
    <phoneticPr fontId="1"/>
  </si>
  <si>
    <t>○○社製○○センサー</t>
    <rPh sb="2" eb="4">
      <t>シャセイ</t>
    </rPh>
    <phoneticPr fontId="1"/>
  </si>
  <si>
    <t>下の表の○がついた所要額調書のシートを入力してください。</t>
    <rPh sb="0" eb="1">
      <t>シタ</t>
    </rPh>
    <rPh sb="2" eb="3">
      <t>ヒョウ</t>
    </rPh>
    <rPh sb="9" eb="12">
      <t>ショヨウガク</t>
    </rPh>
    <rPh sb="12" eb="14">
      <t>チョウショ</t>
    </rPh>
    <rPh sb="19" eb="21">
      <t>ニュウリョク</t>
    </rPh>
    <phoneticPr fontId="1"/>
  </si>
  <si>
    <t>リンクをクリックすると、該当シートが表示されます。</t>
    <rPh sb="12" eb="14">
      <t>ガイトウ</t>
    </rPh>
    <rPh sb="18" eb="20">
      <t>ヒョウジ</t>
    </rPh>
    <phoneticPr fontId="1"/>
  </si>
  <si>
    <t>○○コンサルタント派遣</t>
    <rPh sb="9" eb="11">
      <t>ハケン</t>
    </rPh>
    <phoneticPr fontId="1"/>
  </si>
  <si>
    <t>事前設定シートへ戻る</t>
  </si>
  <si>
    <t>令和７年度群馬県介護テクノロジー定着支援事業補助金　</t>
    <rPh sb="0" eb="2">
      <t>レイワ</t>
    </rPh>
    <rPh sb="3" eb="5">
      <t>ネンド</t>
    </rPh>
    <rPh sb="5" eb="8">
      <t>グンマケン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phoneticPr fontId="1"/>
  </si>
  <si>
    <t>申請区分事前設定シート</t>
  </si>
  <si>
    <t>別紙１－２－③介護ソフト用（施設系サービス）</t>
    <rPh sb="0" eb="2">
      <t>ベッシ</t>
    </rPh>
    <rPh sb="7" eb="9">
      <t>カイゴ</t>
    </rPh>
    <rPh sb="12" eb="13">
      <t>ヨウ</t>
    </rPh>
    <rPh sb="14" eb="16">
      <t>シセツ</t>
    </rPh>
    <rPh sb="16" eb="17">
      <t>ケイ</t>
    </rPh>
    <phoneticPr fontId="1"/>
  </si>
  <si>
    <t>別紙１－２－⑥業務改善支援</t>
    <rPh sb="0" eb="2">
      <t>ベッシ</t>
    </rPh>
    <rPh sb="7" eb="9">
      <t>ギョウム</t>
    </rPh>
    <rPh sb="9" eb="11">
      <t>カイゼン</t>
    </rPh>
    <rPh sb="11" eb="13">
      <t>シエン</t>
    </rPh>
    <phoneticPr fontId="1"/>
  </si>
  <si>
    <t>事前設定シートへ戻る</t>
    <phoneticPr fontId="1"/>
  </si>
  <si>
    <t>パッケージとしての活用方法の詳細</t>
    <rPh sb="9" eb="11">
      <t>カツヨウ</t>
    </rPh>
    <rPh sb="11" eb="13">
      <t>ホウホウ</t>
    </rPh>
    <rPh sb="14" eb="16">
      <t>ショウサイ</t>
    </rPh>
    <phoneticPr fontId="1"/>
  </si>
  <si>
    <t>見守りセンサーと介護ソフトを連携させることにより、センサーのデータを自動的に介護記録に反映することができる。夜間はもとよりベッド臥床中も活動を確認できる。また、インカムでは職員間の情報を即座に共有できるため、利用者の状態等の把握に役立ち、ケアの質を向上させることができる。</t>
    <phoneticPr fontId="1"/>
  </si>
  <si>
    <t>事前設定シートへ戻る</t>
    <phoneticPr fontId="1"/>
  </si>
  <si>
    <t>（名）</t>
    <rPh sb="1" eb="2">
      <t>メイ</t>
    </rPh>
    <phoneticPr fontId="1"/>
  </si>
  <si>
    <t>（円）</t>
    <rPh sb="1" eb="2">
      <t>エン</t>
    </rPh>
    <phoneticPr fontId="1"/>
  </si>
  <si>
    <t>（台）</t>
    <rPh sb="1" eb="2">
      <t>ダイ</t>
    </rPh>
    <phoneticPr fontId="1"/>
  </si>
  <si>
    <t>○○社製インカム</t>
    <rPh sb="2" eb="4">
      <t>シャセイ</t>
    </rPh>
    <phoneticPr fontId="1"/>
  </si>
  <si>
    <r>
      <t>Q1.あなたが今回申請しようとする区分はどれですか？（</t>
    </r>
    <r>
      <rPr>
        <b/>
        <sz val="11"/>
        <color theme="1"/>
        <rFont val="BIZ UDゴシック"/>
        <family val="3"/>
        <charset val="128"/>
      </rPr>
      <t>複数選択</t>
    </r>
    <r>
      <rPr>
        <b/>
        <sz val="11"/>
        <color rgb="FFFF0000"/>
        <rFont val="BIZ UDゴシック"/>
        <family val="3"/>
        <charset val="128"/>
      </rPr>
      <t>不可</t>
    </r>
    <r>
      <rPr>
        <sz val="11"/>
        <color theme="1"/>
        <rFont val="BIZ UDゴシック"/>
        <family val="3"/>
        <charset val="128"/>
      </rPr>
      <t>）</t>
    </r>
    <rPh sb="7" eb="9">
      <t>コンカイ</t>
    </rPh>
    <rPh sb="9" eb="11">
      <t>シンセイ</t>
    </rPh>
    <rPh sb="17" eb="19">
      <t>クブン</t>
    </rPh>
    <rPh sb="27" eb="29">
      <t>フクスウ</t>
    </rPh>
    <rPh sb="29" eb="31">
      <t>センタク</t>
    </rPh>
    <rPh sb="31" eb="32">
      <t>フ</t>
    </rPh>
    <rPh sb="32" eb="33">
      <t>カ</t>
    </rPh>
    <phoneticPr fontId="1"/>
  </si>
  <si>
    <r>
      <t xml:space="preserve">・提出書類に記載されている「補助金所要額調書」は本事前設定シートに記載された内容に基づいて、記載する所要額調書が下表に示されます。まずは誤りのないように、事前設定シートを記載してください。
</t>
    </r>
    <r>
      <rPr>
        <b/>
        <sz val="11"/>
        <color rgb="FFFF0000"/>
        <rFont val="BIZ UDゴシック"/>
        <family val="3"/>
        <charset val="128"/>
      </rPr>
      <t>※入力いただく箇所は黄色セルのみです。</t>
    </r>
    <r>
      <rPr>
        <b/>
        <sz val="11"/>
        <color theme="1"/>
        <rFont val="BIZ UDゴシック"/>
        <family val="3"/>
        <charset val="128"/>
      </rPr>
      <t xml:space="preserve">
　</t>
    </r>
    <r>
      <rPr>
        <b/>
        <sz val="11"/>
        <color rgb="FFFF0000"/>
        <rFont val="BIZ UDゴシック"/>
        <family val="3"/>
        <charset val="128"/>
      </rPr>
      <t>表示された質問は全て回答してください。</t>
    </r>
    <rPh sb="1" eb="3">
      <t>テイシュツ</t>
    </rPh>
    <rPh sb="3" eb="5">
      <t>ショルイ</t>
    </rPh>
    <rPh sb="6" eb="8">
      <t>キサイ</t>
    </rPh>
    <rPh sb="14" eb="17">
      <t>ホジョキン</t>
    </rPh>
    <rPh sb="17" eb="19">
      <t>ショヨウ</t>
    </rPh>
    <rPh sb="19" eb="20">
      <t>ガク</t>
    </rPh>
    <rPh sb="20" eb="22">
      <t>チョウショ</t>
    </rPh>
    <rPh sb="24" eb="25">
      <t>ホン</t>
    </rPh>
    <rPh sb="25" eb="27">
      <t>ジゼン</t>
    </rPh>
    <rPh sb="27" eb="29">
      <t>セッテイ</t>
    </rPh>
    <rPh sb="33" eb="35">
      <t>キサイ</t>
    </rPh>
    <rPh sb="38" eb="40">
      <t>ナイヨウ</t>
    </rPh>
    <rPh sb="41" eb="42">
      <t>モト</t>
    </rPh>
    <rPh sb="46" eb="48">
      <t>キサイ</t>
    </rPh>
    <rPh sb="50" eb="53">
      <t>ショヨウガク</t>
    </rPh>
    <rPh sb="53" eb="55">
      <t>チョウショ</t>
    </rPh>
    <rPh sb="56" eb="58">
      <t>カヒョウ</t>
    </rPh>
    <rPh sb="59" eb="60">
      <t>シメ</t>
    </rPh>
    <rPh sb="68" eb="69">
      <t>アヤマ</t>
    </rPh>
    <rPh sb="77" eb="79">
      <t>ジゼン</t>
    </rPh>
    <rPh sb="79" eb="81">
      <t>セッテイ</t>
    </rPh>
    <rPh sb="85" eb="87">
      <t>キサイ</t>
    </rPh>
    <rPh sb="96" eb="98">
      <t>ニュウリョク</t>
    </rPh>
    <rPh sb="102" eb="104">
      <t>カショ</t>
    </rPh>
    <rPh sb="105" eb="107">
      <t>キイロ</t>
    </rPh>
    <rPh sb="116" eb="118">
      <t>ヒョウジ</t>
    </rPh>
    <rPh sb="121" eb="123">
      <t>シツモン</t>
    </rPh>
    <rPh sb="124" eb="125">
      <t>スベ</t>
    </rPh>
    <rPh sb="126" eb="128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</si>
</sst>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8" tint="-0.499984740745262"/>
      <name val="BIZ UDゴシック"/>
      <family val="3"/>
      <charset val="128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8"/>
      <color rgb="FFFF0000"/>
      <name val="ＤＦ特太ゴシック体"/>
      <family val="3"/>
      <charset val="128"/>
    </font>
    <font>
      <sz val="8"/>
      <color theme="1"/>
      <name val="Yu Gothic"/>
      <family val="3"/>
      <charset val="128"/>
      <scheme val="minor"/>
    </font>
    <font>
      <sz val="9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4"/>
      <color theme="10"/>
      <name val="Yu Gothic"/>
      <family val="2"/>
      <scheme val="minor"/>
    </font>
    <font>
      <b/>
      <sz val="18"/>
      <color rgb="FFFF0000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1"/>
      <color theme="1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11"/>
      <color rgb="FFFF0000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1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4" borderId="13" xfId="1" applyFont="1" applyFill="1" applyBorder="1" applyAlignment="1">
      <alignment vertical="center"/>
    </xf>
    <xf numFmtId="38" fontId="0" fillId="3" borderId="13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" xfId="0" applyNumberFormat="1" applyBorder="1"/>
    <xf numFmtId="38" fontId="0" fillId="2" borderId="7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0" fillId="4" borderId="15" xfId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 wrapText="1"/>
    </xf>
    <xf numFmtId="38" fontId="0" fillId="0" borderId="14" xfId="1" applyFont="1" applyFill="1" applyBorder="1" applyAlignment="1">
      <alignment vertical="center" wrapText="1"/>
    </xf>
    <xf numFmtId="38" fontId="0" fillId="0" borderId="16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 wrapText="1"/>
    </xf>
    <xf numFmtId="38" fontId="0" fillId="0" borderId="17" xfId="1" applyFont="1" applyFill="1" applyBorder="1" applyAlignment="1">
      <alignment vertical="center"/>
    </xf>
    <xf numFmtId="38" fontId="9" fillId="3" borderId="13" xfId="1" applyFont="1" applyFill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0" xfId="0" applyAlignment="1">
      <alignment horizontal="center"/>
    </xf>
    <xf numFmtId="38" fontId="0" fillId="0" borderId="1" xfId="1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38" fontId="0" fillId="2" borderId="18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38" fontId="0" fillId="4" borderId="9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38" fontId="12" fillId="3" borderId="13" xfId="1" applyFont="1" applyFill="1" applyBorder="1" applyAlignment="1">
      <alignment vertical="center" wrapText="1"/>
    </xf>
    <xf numFmtId="38" fontId="13" fillId="4" borderId="13" xfId="1" applyFont="1" applyFill="1" applyBorder="1" applyAlignment="1">
      <alignment vertical="center"/>
    </xf>
    <xf numFmtId="38" fontId="13" fillId="3" borderId="13" xfId="1" applyFont="1" applyFill="1" applyBorder="1" applyAlignment="1">
      <alignment vertical="center"/>
    </xf>
    <xf numFmtId="38" fontId="13" fillId="4" borderId="15" xfId="1" applyFont="1" applyFill="1" applyBorder="1" applyAlignment="1">
      <alignment vertical="center"/>
    </xf>
    <xf numFmtId="38" fontId="13" fillId="4" borderId="9" xfId="1" applyFont="1" applyFill="1" applyBorder="1" applyAlignment="1">
      <alignment vertical="center"/>
    </xf>
    <xf numFmtId="38" fontId="13" fillId="0" borderId="16" xfId="1" applyFont="1" applyFill="1" applyBorder="1" applyAlignment="1">
      <alignment vertical="center"/>
    </xf>
    <xf numFmtId="38" fontId="14" fillId="3" borderId="13" xfId="1" applyFont="1" applyFill="1" applyBorder="1" applyAlignment="1">
      <alignment horizontal="center" vertical="center"/>
    </xf>
    <xf numFmtId="38" fontId="12" fillId="4" borderId="13" xfId="1" applyFont="1" applyFill="1" applyBorder="1" applyAlignment="1">
      <alignment vertical="center"/>
    </xf>
    <xf numFmtId="38" fontId="13" fillId="4" borderId="1" xfId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13" fillId="4" borderId="18" xfId="0" applyFont="1" applyFill="1" applyBorder="1" applyAlignment="1">
      <alignment vertical="center"/>
    </xf>
    <xf numFmtId="0" fontId="13" fillId="5" borderId="13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vertical="center"/>
    </xf>
    <xf numFmtId="0" fontId="13" fillId="5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vertical="center"/>
    </xf>
    <xf numFmtId="0" fontId="13" fillId="5" borderId="18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vertical="center"/>
    </xf>
    <xf numFmtId="38" fontId="13" fillId="4" borderId="14" xfId="1" applyFont="1" applyFill="1" applyBorder="1" applyAlignment="1">
      <alignment vertical="center"/>
    </xf>
    <xf numFmtId="38" fontId="13" fillId="4" borderId="18" xfId="1" applyFont="1" applyFill="1" applyBorder="1" applyAlignment="1">
      <alignment vertical="center"/>
    </xf>
    <xf numFmtId="0" fontId="15" fillId="0" borderId="1" xfId="2" applyBorder="1"/>
    <xf numFmtId="0" fontId="16" fillId="0" borderId="0" xfId="2" applyFont="1" applyAlignment="1">
      <alignment vertical="center"/>
    </xf>
    <xf numFmtId="0" fontId="3" fillId="0" borderId="0" xfId="0" applyFont="1" applyAlignment="1">
      <alignment vertical="top"/>
    </xf>
    <xf numFmtId="38" fontId="13" fillId="4" borderId="9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2" fillId="5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4" borderId="14" xfId="0" applyFont="1" applyFill="1" applyBorder="1"/>
    <xf numFmtId="0" fontId="13" fillId="5" borderId="9" xfId="0" applyFont="1" applyFill="1" applyBorder="1" applyAlignment="1">
      <alignment horizontal="center" vertical="center"/>
    </xf>
    <xf numFmtId="0" fontId="13" fillId="4" borderId="9" xfId="0" applyFont="1" applyFill="1" applyBorder="1"/>
    <xf numFmtId="38" fontId="0" fillId="0" borderId="7" xfId="1" applyFont="1" applyBorder="1" applyAlignment="1">
      <alignment horizontal="center" vertical="center" wrapText="1"/>
    </xf>
    <xf numFmtId="38" fontId="12" fillId="3" borderId="15" xfId="1" applyFont="1" applyFill="1" applyBorder="1" applyAlignment="1">
      <alignment vertical="center" wrapText="1"/>
    </xf>
    <xf numFmtId="38" fontId="13" fillId="3" borderId="15" xfId="1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right" vertical="center" wrapText="1"/>
    </xf>
    <xf numFmtId="38" fontId="0" fillId="0" borderId="8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0" fillId="0" borderId="0" xfId="0" applyFont="1"/>
    <xf numFmtId="38" fontId="0" fillId="0" borderId="19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3" borderId="13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38" fontId="13" fillId="3" borderId="15" xfId="1" applyFont="1" applyFill="1" applyBorder="1" applyAlignment="1">
      <alignment horizontal="center" vertical="center"/>
    </xf>
    <xf numFmtId="38" fontId="13" fillId="3" borderId="13" xfId="1" applyFont="1" applyFill="1" applyBorder="1" applyAlignment="1">
      <alignment horizontal="center" vertical="center"/>
    </xf>
    <xf numFmtId="38" fontId="12" fillId="3" borderId="13" xfId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6" borderId="1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38" fontId="0" fillId="3" borderId="13" xfId="1" applyFont="1" applyFill="1" applyBorder="1" applyAlignment="1" applyProtection="1">
      <alignment vertical="center" wrapText="1"/>
      <protection locked="0"/>
    </xf>
    <xf numFmtId="38" fontId="0" fillId="4" borderId="13" xfId="1" applyFont="1" applyFill="1" applyBorder="1" applyAlignment="1" applyProtection="1">
      <alignment vertical="center"/>
      <protection locked="0"/>
    </xf>
    <xf numFmtId="38" fontId="0" fillId="3" borderId="13" xfId="1" applyFont="1" applyFill="1" applyBorder="1" applyAlignment="1" applyProtection="1">
      <alignment horizontal="center" vertical="center"/>
      <protection locked="0"/>
    </xf>
    <xf numFmtId="38" fontId="0" fillId="3" borderId="13" xfId="1" applyFont="1" applyFill="1" applyBorder="1" applyAlignment="1" applyProtection="1">
      <alignment vertical="center"/>
      <protection locked="0"/>
    </xf>
    <xf numFmtId="38" fontId="0" fillId="4" borderId="15" xfId="1" applyFont="1" applyFill="1" applyBorder="1" applyAlignment="1" applyProtection="1">
      <alignment vertical="center"/>
      <protection locked="0"/>
    </xf>
    <xf numFmtId="38" fontId="0" fillId="4" borderId="9" xfId="1" applyFont="1" applyFill="1" applyBorder="1" applyAlignment="1" applyProtection="1">
      <alignment vertical="center"/>
      <protection locked="0"/>
    </xf>
    <xf numFmtId="38" fontId="0" fillId="4" borderId="9" xfId="1" applyFont="1" applyFill="1" applyBorder="1" applyAlignment="1" applyProtection="1">
      <alignment vertical="center"/>
      <protection locked="0"/>
    </xf>
    <xf numFmtId="38" fontId="9" fillId="3" borderId="13" xfId="1" applyFont="1" applyFill="1" applyBorder="1" applyAlignment="1" applyProtection="1">
      <alignment horizontal="center" vertical="center"/>
      <protection locked="0"/>
    </xf>
    <xf numFmtId="38" fontId="0" fillId="4" borderId="1" xfId="1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18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38" fontId="0" fillId="4" borderId="14" xfId="1" applyFont="1" applyFill="1" applyBorder="1" applyAlignment="1" applyProtection="1">
      <alignment vertical="center"/>
      <protection locked="0"/>
    </xf>
    <xf numFmtId="38" fontId="0" fillId="4" borderId="18" xfId="1" applyFont="1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Protection="1"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4" borderId="9" xfId="0" applyFill="1" applyBorder="1" applyProtection="1">
      <protection locked="0"/>
    </xf>
    <xf numFmtId="0" fontId="4" fillId="0" borderId="0" xfId="0" applyFont="1" applyAlignment="1">
      <alignment vertical="top" wrapText="1"/>
    </xf>
    <xf numFmtId="38" fontId="0" fillId="2" borderId="7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4" borderId="7" xfId="1" applyFont="1" applyFill="1" applyBorder="1" applyAlignment="1" applyProtection="1">
      <alignment horizontal="center" vertical="center"/>
      <protection locked="0"/>
    </xf>
    <xf numFmtId="38" fontId="0" fillId="4" borderId="8" xfId="1" applyFont="1" applyFill="1" applyBorder="1" applyAlignment="1" applyProtection="1">
      <alignment horizontal="center" vertical="center"/>
      <protection locked="0"/>
    </xf>
    <xf numFmtId="38" fontId="0" fillId="4" borderId="9" xfId="1" applyFont="1" applyFill="1" applyBorder="1" applyAlignment="1" applyProtection="1">
      <alignment horizontal="center" vertical="center"/>
      <protection locked="0"/>
    </xf>
    <xf numFmtId="38" fontId="0" fillId="0" borderId="1" xfId="1" applyFont="1" applyBorder="1" applyAlignment="1">
      <alignment horizontal="center" vertical="center" textRotation="255"/>
    </xf>
    <xf numFmtId="38" fontId="0" fillId="4" borderId="7" xfId="1" applyFont="1" applyFill="1" applyBorder="1" applyAlignment="1" applyProtection="1">
      <alignment vertical="center"/>
      <protection locked="0"/>
    </xf>
    <xf numFmtId="38" fontId="0" fillId="4" borderId="8" xfId="1" applyFont="1" applyFill="1" applyBorder="1" applyAlignment="1" applyProtection="1">
      <alignment vertical="center"/>
      <protection locked="0"/>
    </xf>
    <xf numFmtId="38" fontId="0" fillId="4" borderId="9" xfId="1" applyFont="1" applyFill="1" applyBorder="1" applyAlignment="1" applyProtection="1">
      <alignment vertical="center"/>
      <protection locked="0"/>
    </xf>
    <xf numFmtId="38" fontId="0" fillId="0" borderId="19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12" fontId="0" fillId="2" borderId="7" xfId="1" applyNumberFormat="1" applyFont="1" applyFill="1" applyBorder="1" applyAlignment="1">
      <alignment horizontal="center" vertical="center"/>
    </xf>
    <xf numFmtId="12" fontId="0" fillId="2" borderId="8" xfId="1" applyNumberFormat="1" applyFont="1" applyFill="1" applyBorder="1" applyAlignment="1">
      <alignment horizontal="center" vertical="center"/>
    </xf>
    <xf numFmtId="12" fontId="0" fillId="2" borderId="9" xfId="1" applyNumberFormat="1" applyFont="1" applyFill="1" applyBorder="1" applyAlignment="1">
      <alignment horizontal="center" vertical="center"/>
    </xf>
    <xf numFmtId="0" fontId="0" fillId="5" borderId="4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8" fontId="13" fillId="4" borderId="7" xfId="1" applyFont="1" applyFill="1" applyBorder="1" applyAlignment="1">
      <alignment vertical="center"/>
    </xf>
    <xf numFmtId="38" fontId="13" fillId="4" borderId="8" xfId="1" applyFont="1" applyFill="1" applyBorder="1" applyAlignment="1">
      <alignment vertical="center"/>
    </xf>
    <xf numFmtId="38" fontId="13" fillId="4" borderId="9" xfId="1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38" fontId="0" fillId="0" borderId="9" xfId="1" applyFont="1" applyBorder="1" applyAlignment="1">
      <alignment horizontal="center" vertical="center" textRotation="255"/>
    </xf>
    <xf numFmtId="38" fontId="13" fillId="4" borderId="8" xfId="1" applyFont="1" applyFill="1" applyBorder="1" applyAlignment="1">
      <alignment horizontal="center" vertical="center"/>
    </xf>
    <xf numFmtId="38" fontId="13" fillId="4" borderId="9" xfId="1" applyFont="1" applyFill="1" applyBorder="1" applyAlignment="1">
      <alignment horizontal="center" vertical="center"/>
    </xf>
    <xf numFmtId="38" fontId="13" fillId="4" borderId="7" xfId="1" applyFont="1" applyFill="1" applyBorder="1" applyAlignment="1">
      <alignment horizontal="center" vertic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38" fontId="0" fillId="2" borderId="7" xfId="1" applyFont="1" applyFill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12" fontId="0" fillId="2" borderId="7" xfId="0" applyNumberFormat="1" applyFill="1" applyBorder="1" applyAlignment="1">
      <alignment horizontal="center" vertical="center"/>
    </xf>
    <xf numFmtId="12" fontId="0" fillId="2" borderId="8" xfId="0" applyNumberFormat="1" applyFill="1" applyBorder="1" applyAlignment="1">
      <alignment horizontal="center" vertical="center"/>
    </xf>
    <xf numFmtId="12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top" wrapText="1"/>
    </xf>
    <xf numFmtId="0" fontId="13" fillId="4" borderId="4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top" wrapText="1"/>
    </xf>
    <xf numFmtId="38" fontId="12" fillId="4" borderId="7" xfId="1" applyFont="1" applyFill="1" applyBorder="1" applyAlignment="1">
      <alignment horizontal="center" vertical="center"/>
    </xf>
    <xf numFmtId="38" fontId="12" fillId="4" borderId="8" xfId="1" applyFont="1" applyFill="1" applyBorder="1" applyAlignment="1">
      <alignment horizontal="center" vertical="center"/>
    </xf>
    <xf numFmtId="38" fontId="12" fillId="4" borderId="9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0E8E-FF55-4AB4-87A6-7E388FFB890F}">
  <sheetPr codeName="Sheet1"/>
  <dimension ref="A1:K32"/>
  <sheetViews>
    <sheetView tabSelected="1" view="pageBreakPreview" zoomScaleNormal="100" zoomScaleSheetLayoutView="100" workbookViewId="0"/>
  </sheetViews>
  <sheetFormatPr defaultColWidth="8.83203125" defaultRowHeight="13"/>
  <cols>
    <col min="1" max="1" width="3.1640625" style="2" customWidth="1"/>
    <col min="2" max="2" width="2.9140625" style="2" customWidth="1"/>
    <col min="3" max="8" width="12.58203125" style="2" customWidth="1"/>
    <col min="9" max="9" width="3.9140625" style="2" customWidth="1"/>
    <col min="10" max="10" width="20" style="2" customWidth="1"/>
    <col min="11" max="11" width="8.83203125" style="3"/>
    <col min="12" max="16384" width="8.83203125" style="2"/>
  </cols>
  <sheetData>
    <row r="1" spans="1:10" ht="16">
      <c r="A1" s="1" t="s">
        <v>202</v>
      </c>
    </row>
    <row r="2" spans="1:10" ht="25" customHeight="1">
      <c r="A2" s="84" t="s">
        <v>203</v>
      </c>
    </row>
    <row r="3" spans="1:10" ht="26" customHeight="1">
      <c r="A3" s="153" t="s">
        <v>215</v>
      </c>
      <c r="B3" s="153"/>
      <c r="C3" s="153"/>
      <c r="D3" s="153"/>
      <c r="E3" s="153"/>
      <c r="F3" s="153"/>
      <c r="G3" s="153"/>
      <c r="H3" s="153"/>
      <c r="I3" s="153"/>
      <c r="J3" s="119"/>
    </row>
    <row r="4" spans="1:10" ht="26" customHeight="1">
      <c r="A4" s="153"/>
      <c r="B4" s="153"/>
      <c r="C4" s="153"/>
      <c r="D4" s="153"/>
      <c r="E4" s="153"/>
      <c r="F4" s="153"/>
      <c r="G4" s="153"/>
      <c r="H4" s="153"/>
      <c r="I4" s="153"/>
      <c r="J4" s="119"/>
    </row>
    <row r="5" spans="1:10" ht="26" customHeight="1">
      <c r="A5" s="153"/>
      <c r="B5" s="153"/>
      <c r="C5" s="153"/>
      <c r="D5" s="153"/>
      <c r="E5" s="153"/>
      <c r="F5" s="153"/>
      <c r="G5" s="153"/>
      <c r="H5" s="153"/>
      <c r="I5" s="153"/>
      <c r="J5" s="119"/>
    </row>
    <row r="7" spans="1:10">
      <c r="A7" s="2" t="s">
        <v>214</v>
      </c>
    </row>
    <row r="8" spans="1:10">
      <c r="B8" s="120"/>
      <c r="C8" s="59" t="s">
        <v>179</v>
      </c>
    </row>
    <row r="9" spans="1:10">
      <c r="B9" s="120"/>
      <c r="C9" s="59" t="s">
        <v>169</v>
      </c>
    </row>
    <row r="10" spans="1:10">
      <c r="B10" s="120"/>
      <c r="C10" s="59" t="s">
        <v>178</v>
      </c>
    </row>
    <row r="11" spans="1:10">
      <c r="B11" s="120"/>
      <c r="C11" s="59" t="s">
        <v>170</v>
      </c>
    </row>
    <row r="12" spans="1:10" ht="16">
      <c r="B12" s="104" t="str">
        <f>IF(COUNTA(B8:B10)&gt;1,"1事業所で複数区分による申請はできません（業務改善支援を除く）。","")</f>
        <v/>
      </c>
    </row>
    <row r="14" spans="1:10">
      <c r="A14" s="2" t="str">
        <f>IF(B8="","Q1で重点分野に該当する介護テクノロジーの導入支援を選択した場合Q2が表示されます。","Q2.（Q1で重点分野に該当する介護テクノロジーの導入支援を選択した方にお聞きします。）")</f>
        <v>Q1で重点分野に該当する介護テクノロジーの導入支援を選択した場合Q2が表示されます。</v>
      </c>
    </row>
    <row r="15" spans="1:10">
      <c r="B15" s="2" t="str">
        <f>IF($B$8="","","今回申請する種別はどちらですか？")</f>
        <v/>
      </c>
    </row>
    <row r="16" spans="1:10">
      <c r="B16" s="121"/>
      <c r="C16" s="2" t="str">
        <f>IF($B$8="","","介護ソフトを除く介護テクノロジーの導入")</f>
        <v/>
      </c>
    </row>
    <row r="17" spans="1:8">
      <c r="B17" s="121"/>
      <c r="C17" s="2" t="str">
        <f>IF($B$8="","","介護ソフトの導入")</f>
        <v/>
      </c>
    </row>
    <row r="20" spans="1:8">
      <c r="A20" s="2" t="str">
        <f>IF(B8="","",IF(AND(A14="Q2.（Q1で重点分野に該当する介護テクノロジーの導入支援を選択した方にお聞きします。）",B17=""),"Q2で介護ソフトの導入を選択した場合Q3が表示されます。","Q3.（Q2で介護ソフトの導入を選択した方にお聞きします。）"))</f>
        <v/>
      </c>
    </row>
    <row r="21" spans="1:8">
      <c r="B21" s="2" t="str">
        <f>IF(B17="","","あなたの事業所の種別はどちらに該当しますか？")</f>
        <v/>
      </c>
    </row>
    <row r="22" spans="1:8">
      <c r="B22" s="121"/>
      <c r="C22" s="59" t="str">
        <f>IF(B21="","","居宅サービス事業所又は居宅介護支援事業所（介護予防を含む。）")</f>
        <v/>
      </c>
    </row>
    <row r="23" spans="1:8">
      <c r="B23" s="121"/>
      <c r="C23" s="59" t="str">
        <f>IF(B21="","","それ以外")</f>
        <v/>
      </c>
    </row>
    <row r="26" spans="1:8">
      <c r="B26" s="2" t="s">
        <v>1</v>
      </c>
    </row>
    <row r="27" spans="1:8">
      <c r="B27" s="2" t="s">
        <v>198</v>
      </c>
    </row>
    <row r="28" spans="1:8">
      <c r="B28" s="2" t="s">
        <v>199</v>
      </c>
    </row>
    <row r="30" spans="1:8" ht="18">
      <c r="C30" s="82" t="s">
        <v>171</v>
      </c>
      <c r="D30" s="82" t="s">
        <v>172</v>
      </c>
      <c r="E30" s="82" t="s">
        <v>173</v>
      </c>
      <c r="F30" s="82" t="s">
        <v>174</v>
      </c>
      <c r="G30" s="82" t="s">
        <v>175</v>
      </c>
      <c r="H30" s="82" t="s">
        <v>176</v>
      </c>
    </row>
    <row r="31" spans="1:8" ht="26.5" customHeight="1">
      <c r="C31" s="60" t="str">
        <f>IF(AND(B8="✔",B16="✔"),"○","")</f>
        <v/>
      </c>
      <c r="D31" s="60" t="str">
        <f>IF(AND(B8="✔",B17="✔",B22="✔"),"○","")</f>
        <v/>
      </c>
      <c r="E31" s="60" t="str">
        <f>IF(AND(B8="✔",B17="✔",B23="✔"),"○","")</f>
        <v/>
      </c>
      <c r="F31" s="60" t="str">
        <f>IF(B9="","","○")</f>
        <v/>
      </c>
      <c r="G31" s="60" t="str">
        <f>IF(B10="","","○")</f>
        <v/>
      </c>
      <c r="H31" s="60" t="str">
        <f>IF(B11="","","○")</f>
        <v/>
      </c>
    </row>
    <row r="32" spans="1:8" ht="23" customHeight="1"/>
  </sheetData>
  <sheetProtection algorithmName="SHA-512" hashValue="n9AL21kjWfU08/C+1jZRx00C1DYigIpwCTTHfF6wEDftsFplPITpPqvoxUp/WqUi6E9tS+WOdIw5ZTl/Yquvug==" saltValue="tcbE3FkjhaVbBi4ZeRW+8A==" spinCount="100000" sheet="1" objects="1" scenarios="1"/>
  <mergeCells count="1">
    <mergeCell ref="A3:I5"/>
  </mergeCells>
  <phoneticPr fontId="1"/>
  <conditionalFormatting sqref="B16:B17">
    <cfRule type="expression" dxfId="10" priority="2">
      <formula>$B$8="✔"</formula>
    </cfRule>
  </conditionalFormatting>
  <conditionalFormatting sqref="B22:B23">
    <cfRule type="expression" dxfId="9" priority="1">
      <formula>$B$17="✔"</formula>
    </cfRule>
  </conditionalFormatting>
  <dataValidations count="1">
    <dataValidation type="list" allowBlank="1" showInputMessage="1" showErrorMessage="1" sqref="B8:B11 B16:B17 B22:B23" xr:uid="{3D9CCB75-0E10-417C-9202-48281F1C0993}">
      <formula1>"✔"</formula1>
    </dataValidation>
  </dataValidations>
  <hyperlinks>
    <hyperlink ref="C30" location="所要額調書①!A1" display="所要額調書①" xr:uid="{B5949204-ACBB-4E0D-912C-793BB2B8B7FF}"/>
    <hyperlink ref="D30" location="所要額調書②!A1" display="所要額調書②" xr:uid="{61CE671E-51A7-46C1-9DF5-06180C590D9E}"/>
    <hyperlink ref="E30" location="所要額調書③!A1" display="所要額調書③" xr:uid="{92526869-33D2-4A50-A724-73AA9F3A207B}"/>
    <hyperlink ref="F30" location="所要額調書④!A1" display="所要額調書④" xr:uid="{2E759B3B-C6F1-4D9D-92AB-2192074EC26B}"/>
    <hyperlink ref="G30" location="所要額調書⑤!A1" display="所要額調書⑤" xr:uid="{D80B5A75-E789-4350-87CF-DE1A480C5107}"/>
    <hyperlink ref="H30" location="所要額調書⑥!A1" display="所要額調書⑥" xr:uid="{3603C4BE-8353-40F4-8B52-9A425898DF2C}"/>
  </hyperlink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3B75-C6A8-42D3-A14E-51F2D1F99174}">
  <sheetPr codeName="Sheet11">
    <pageSetUpPr fitToPage="1"/>
  </sheetPr>
  <dimension ref="A1:R24"/>
  <sheetViews>
    <sheetView view="pageBreakPreview" zoomScale="80" zoomScaleNormal="70" zoomScaleSheetLayoutView="80" workbookViewId="0">
      <selection activeCell="E27" sqref="E27"/>
    </sheetView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8.58203125" style="9" customWidth="1"/>
    <col min="6" max="11" width="13" style="9" customWidth="1"/>
    <col min="12" max="12" width="6.83203125" style="9" bestFit="1" customWidth="1"/>
    <col min="13" max="15" width="13" style="9" customWidth="1"/>
    <col min="16" max="16" width="14.08203125" style="9" customWidth="1"/>
    <col min="17" max="17" width="74.5" style="9" bestFit="1" customWidth="1"/>
    <col min="18" max="16384" width="8.83203125" style="9"/>
  </cols>
  <sheetData>
    <row r="1" spans="1:18">
      <c r="A1" s="9" t="s">
        <v>26</v>
      </c>
      <c r="L1" s="12"/>
      <c r="M1" s="12" t="s">
        <v>30</v>
      </c>
      <c r="N1" s="176"/>
      <c r="O1" s="176"/>
      <c r="P1" s="176"/>
    </row>
    <row r="2" spans="1:18">
      <c r="A2" s="9" t="s">
        <v>2</v>
      </c>
      <c r="L2" s="12"/>
      <c r="M2" s="12" t="s">
        <v>31</v>
      </c>
      <c r="N2" s="175"/>
      <c r="O2" s="175"/>
      <c r="P2" s="175"/>
    </row>
    <row r="3" spans="1:18">
      <c r="L3" s="12"/>
      <c r="M3" s="12" t="s">
        <v>32</v>
      </c>
      <c r="N3" s="175"/>
      <c r="O3" s="175"/>
      <c r="P3" s="175"/>
    </row>
    <row r="4" spans="1:18">
      <c r="A4" s="10" t="s">
        <v>5</v>
      </c>
      <c r="B4" s="10" t="s">
        <v>23</v>
      </c>
      <c r="C4" s="10"/>
      <c r="D4" s="11"/>
      <c r="E4" s="11"/>
      <c r="F4" s="11"/>
      <c r="G4" s="11"/>
      <c r="H4" s="11"/>
      <c r="I4" s="11"/>
      <c r="L4" s="12"/>
      <c r="M4" s="12" t="s">
        <v>33</v>
      </c>
      <c r="N4" s="174"/>
      <c r="O4" s="174"/>
      <c r="P4" s="174"/>
    </row>
    <row r="5" spans="1:18">
      <c r="A5" s="11"/>
      <c r="B5" s="11"/>
      <c r="C5" s="11"/>
      <c r="E5" s="11"/>
      <c r="F5" s="11"/>
      <c r="G5" s="11"/>
      <c r="H5" s="11"/>
      <c r="I5" s="11"/>
      <c r="L5" s="12"/>
      <c r="M5" s="12" t="s">
        <v>34</v>
      </c>
      <c r="N5" s="175"/>
      <c r="O5" s="175"/>
      <c r="P5" s="175"/>
    </row>
    <row r="6" spans="1:18" ht="40" customHeight="1">
      <c r="B6" s="83" t="s">
        <v>201</v>
      </c>
      <c r="D6" s="109" t="str">
        <f>IF(COUNTIF(D9:D16,"無")&gt;0,"TAISに掲載されていない機器を導入する場合、別紙１－４を提出。","")</f>
        <v/>
      </c>
      <c r="F6" s="43" t="s">
        <v>144</v>
      </c>
      <c r="G6" s="43" t="s">
        <v>145</v>
      </c>
      <c r="H6" s="43" t="s">
        <v>146</v>
      </c>
      <c r="I6" s="43" t="s">
        <v>147</v>
      </c>
      <c r="J6" s="43" t="s">
        <v>148</v>
      </c>
      <c r="K6" s="43" t="s">
        <v>149</v>
      </c>
      <c r="L6" s="43"/>
      <c r="M6" s="43" t="s">
        <v>150</v>
      </c>
      <c r="N6" s="43" t="s">
        <v>165</v>
      </c>
      <c r="O6" s="43" t="s">
        <v>152</v>
      </c>
      <c r="P6" s="49" t="s">
        <v>162</v>
      </c>
    </row>
    <row r="7" spans="1:18" s="4" customFormat="1" ht="60.5" customHeight="1">
      <c r="A7" s="101"/>
      <c r="B7" s="101" t="s">
        <v>4</v>
      </c>
      <c r="C7" s="101" t="s">
        <v>29</v>
      </c>
      <c r="D7" s="92" t="s">
        <v>132</v>
      </c>
      <c r="E7" s="101" t="s">
        <v>35</v>
      </c>
      <c r="F7" s="101" t="s">
        <v>7</v>
      </c>
      <c r="G7" s="101" t="s">
        <v>8</v>
      </c>
      <c r="H7" s="101" t="s">
        <v>9</v>
      </c>
      <c r="I7" s="92" t="s">
        <v>11</v>
      </c>
      <c r="J7" s="92" t="s">
        <v>137</v>
      </c>
      <c r="K7" s="92" t="s">
        <v>10</v>
      </c>
      <c r="L7" s="101" t="s">
        <v>12</v>
      </c>
      <c r="M7" s="92" t="s">
        <v>160</v>
      </c>
      <c r="N7" s="101" t="s">
        <v>161</v>
      </c>
      <c r="O7" s="92" t="s">
        <v>129</v>
      </c>
      <c r="P7" s="92" t="s">
        <v>180</v>
      </c>
    </row>
    <row r="8" spans="1:18" s="4" customFormat="1" ht="18" customHeight="1">
      <c r="A8" s="102"/>
      <c r="B8" s="103"/>
      <c r="C8" s="103"/>
      <c r="D8" s="96"/>
      <c r="E8" s="103"/>
      <c r="F8" s="103" t="s">
        <v>211</v>
      </c>
      <c r="G8" s="103" t="s">
        <v>211</v>
      </c>
      <c r="H8" s="103" t="s">
        <v>211</v>
      </c>
      <c r="I8" s="99" t="s">
        <v>212</v>
      </c>
      <c r="J8" s="99" t="s">
        <v>211</v>
      </c>
      <c r="K8" s="99" t="s">
        <v>211</v>
      </c>
      <c r="L8" s="103"/>
      <c r="M8" s="99" t="s">
        <v>211</v>
      </c>
      <c r="N8" s="99" t="s">
        <v>211</v>
      </c>
      <c r="O8" s="99" t="s">
        <v>211</v>
      </c>
      <c r="P8" s="99" t="s">
        <v>211</v>
      </c>
    </row>
    <row r="9" spans="1:18" ht="38.25" customHeight="1">
      <c r="A9" s="193" t="s">
        <v>24</v>
      </c>
      <c r="B9" s="194"/>
      <c r="C9" s="134"/>
      <c r="D9" s="139"/>
      <c r="E9" s="200"/>
      <c r="F9" s="160"/>
      <c r="G9" s="160"/>
      <c r="H9" s="206" t="str">
        <f>IF(F9="","",F9-G9)</f>
        <v/>
      </c>
      <c r="I9" s="212"/>
      <c r="J9" s="123"/>
      <c r="K9" s="24" t="str">
        <f t="shared" ref="K9:K12" si="0">IF(J9="","",J9)</f>
        <v/>
      </c>
      <c r="L9" s="197">
        <v>0.75</v>
      </c>
      <c r="M9" s="22" t="str">
        <f>IF(K9="","",K9*$L$9)</f>
        <v/>
      </c>
      <c r="N9" s="190" t="str">
        <f>IF(F9="","",ROUNDDOWN(SUM(M9:M20),-3))</f>
        <v/>
      </c>
      <c r="O9" s="190" t="str">
        <f>IF(N9="","",4000000)</f>
        <v/>
      </c>
      <c r="P9" s="190" t="str">
        <f>IF(O9="","",ROUNDDOWN(MIN(H9,N9,O9),-3))</f>
        <v/>
      </c>
    </row>
    <row r="10" spans="1:18" ht="38.25" customHeight="1">
      <c r="A10" s="193"/>
      <c r="B10" s="195"/>
      <c r="C10" s="135"/>
      <c r="D10" s="140"/>
      <c r="E10" s="201"/>
      <c r="F10" s="161"/>
      <c r="G10" s="161"/>
      <c r="H10" s="207"/>
      <c r="I10" s="168"/>
      <c r="J10" s="146"/>
      <c r="K10" s="25" t="str">
        <f t="shared" si="0"/>
        <v/>
      </c>
      <c r="L10" s="198"/>
      <c r="M10" s="23" t="str">
        <f t="shared" ref="M10:M16" si="1">IF(K10="","",K10*$L$9)</f>
        <v/>
      </c>
      <c r="N10" s="191"/>
      <c r="O10" s="191"/>
      <c r="P10" s="191"/>
    </row>
    <row r="11" spans="1:18" ht="38.25" customHeight="1">
      <c r="A11" s="193"/>
      <c r="B11" s="195"/>
      <c r="C11" s="135"/>
      <c r="D11" s="140"/>
      <c r="E11" s="201"/>
      <c r="F11" s="161"/>
      <c r="G11" s="161"/>
      <c r="H11" s="207"/>
      <c r="I11" s="168"/>
      <c r="J11" s="146"/>
      <c r="K11" s="25" t="str">
        <f t="shared" si="0"/>
        <v/>
      </c>
      <c r="L11" s="198"/>
      <c r="M11" s="23" t="str">
        <f t="shared" si="1"/>
        <v/>
      </c>
      <c r="N11" s="191"/>
      <c r="O11" s="191"/>
      <c r="P11" s="191"/>
    </row>
    <row r="12" spans="1:18" ht="38.25" customHeight="1">
      <c r="A12" s="193"/>
      <c r="B12" s="195"/>
      <c r="C12" s="135"/>
      <c r="D12" s="140"/>
      <c r="E12" s="201"/>
      <c r="F12" s="161"/>
      <c r="G12" s="161"/>
      <c r="H12" s="207"/>
      <c r="I12" s="168"/>
      <c r="J12" s="146"/>
      <c r="K12" s="25" t="str">
        <f t="shared" si="0"/>
        <v/>
      </c>
      <c r="L12" s="198"/>
      <c r="M12" s="23" t="str">
        <f t="shared" si="1"/>
        <v/>
      </c>
      <c r="N12" s="191"/>
      <c r="O12" s="191"/>
      <c r="P12" s="191"/>
    </row>
    <row r="13" spans="1:18" ht="38.25" customHeight="1">
      <c r="A13" s="193"/>
      <c r="B13" s="196"/>
      <c r="C13" s="136"/>
      <c r="D13" s="141"/>
      <c r="E13" s="202"/>
      <c r="F13" s="161"/>
      <c r="G13" s="161"/>
      <c r="H13" s="207"/>
      <c r="I13" s="169"/>
      <c r="J13" s="128"/>
      <c r="K13" s="41" t="str">
        <f>IF(J13="","",J13)</f>
        <v/>
      </c>
      <c r="L13" s="198"/>
      <c r="M13" s="17" t="str">
        <f t="shared" si="1"/>
        <v/>
      </c>
      <c r="N13" s="191"/>
      <c r="O13" s="191"/>
      <c r="P13" s="191"/>
    </row>
    <row r="14" spans="1:18" ht="37.65" customHeight="1">
      <c r="A14" s="193" t="s">
        <v>25</v>
      </c>
      <c r="B14" s="131"/>
      <c r="C14" s="134"/>
      <c r="D14" s="139"/>
      <c r="E14" s="143"/>
      <c r="F14" s="161"/>
      <c r="G14" s="161"/>
      <c r="H14" s="207"/>
      <c r="I14" s="123"/>
      <c r="J14" s="123"/>
      <c r="K14" s="24" t="str">
        <f>IF(I14="","",I14*J14)</f>
        <v/>
      </c>
      <c r="L14" s="198"/>
      <c r="M14" s="22" t="str">
        <f t="shared" si="1"/>
        <v/>
      </c>
      <c r="N14" s="191"/>
      <c r="O14" s="191"/>
      <c r="P14" s="191"/>
      <c r="Q14" s="9" t="str">
        <f>CONCATENATE(B14,E14)</f>
        <v/>
      </c>
      <c r="R14" s="9" t="str">
        <f>IF(B14="","",IF(Q14="","",COUNTIF($Q$14:$Q$16,Q14)))</f>
        <v/>
      </c>
    </row>
    <row r="15" spans="1:18" ht="37.65" customHeight="1">
      <c r="A15" s="193"/>
      <c r="B15" s="132"/>
      <c r="C15" s="135"/>
      <c r="D15" s="140"/>
      <c r="E15" s="144"/>
      <c r="F15" s="161"/>
      <c r="G15" s="161"/>
      <c r="H15" s="207"/>
      <c r="I15" s="146"/>
      <c r="J15" s="146"/>
      <c r="K15" s="25" t="str">
        <f t="shared" ref="K15:K16" si="2">IF(I15="","",I15*J15)</f>
        <v/>
      </c>
      <c r="L15" s="198"/>
      <c r="M15" s="23" t="str">
        <f t="shared" si="1"/>
        <v/>
      </c>
      <c r="N15" s="191"/>
      <c r="O15" s="191"/>
      <c r="P15" s="191"/>
      <c r="Q15" s="9" t="str">
        <f>CONCATENATE(B15,E15)</f>
        <v/>
      </c>
      <c r="R15" s="9" t="str">
        <f t="shared" ref="R15:R16" si="3">IF(B15="","",IF(Q15="","",COUNTIF($Q$14:$Q$16,Q15)))</f>
        <v/>
      </c>
    </row>
    <row r="16" spans="1:18" ht="37.65" customHeight="1">
      <c r="A16" s="193"/>
      <c r="B16" s="133"/>
      <c r="C16" s="137"/>
      <c r="D16" s="142"/>
      <c r="E16" s="145"/>
      <c r="F16" s="161"/>
      <c r="G16" s="161"/>
      <c r="H16" s="207"/>
      <c r="I16" s="147"/>
      <c r="J16" s="147"/>
      <c r="K16" s="48" t="str">
        <f t="shared" si="2"/>
        <v/>
      </c>
      <c r="L16" s="198"/>
      <c r="M16" s="47" t="str">
        <f t="shared" si="1"/>
        <v/>
      </c>
      <c r="N16" s="191"/>
      <c r="O16" s="191"/>
      <c r="P16" s="191"/>
      <c r="Q16" s="9" t="str">
        <f>CONCATENATE(B16,E16)</f>
        <v/>
      </c>
      <c r="R16" s="9" t="str">
        <f t="shared" si="3"/>
        <v/>
      </c>
    </row>
    <row r="17" spans="1:18" ht="37.65" customHeight="1">
      <c r="A17" s="193"/>
      <c r="B17" s="46" t="s">
        <v>156</v>
      </c>
      <c r="C17" s="138"/>
      <c r="D17" s="106"/>
      <c r="E17" s="209"/>
      <c r="F17" s="161"/>
      <c r="G17" s="161"/>
      <c r="H17" s="207"/>
      <c r="I17" s="126"/>
      <c r="J17" s="126"/>
      <c r="K17" s="31" t="str">
        <f>IF(I17="","",I17*J17)</f>
        <v/>
      </c>
      <c r="L17" s="198"/>
      <c r="M17" s="31" t="str">
        <f>IF(K17="","",IF(J17*$L$9&gt;100000,100000*I17,K17*$L$9))</f>
        <v/>
      </c>
      <c r="N17" s="191"/>
      <c r="O17" s="191"/>
      <c r="P17" s="191"/>
      <c r="R17" s="9">
        <f>SUM(R14:R16)</f>
        <v>0</v>
      </c>
    </row>
    <row r="18" spans="1:18" ht="37.65" customHeight="1">
      <c r="A18" s="193"/>
      <c r="B18" s="45" t="s">
        <v>157</v>
      </c>
      <c r="C18" s="135"/>
      <c r="D18" s="106"/>
      <c r="E18" s="210"/>
      <c r="F18" s="161"/>
      <c r="G18" s="161"/>
      <c r="H18" s="207"/>
      <c r="I18" s="146"/>
      <c r="J18" s="146"/>
      <c r="K18" s="31" t="str">
        <f t="shared" ref="K18:K19" si="4">IF(I18="","",I18*J18)</f>
        <v/>
      </c>
      <c r="L18" s="198"/>
      <c r="M18" s="23" t="str">
        <f t="shared" ref="M18:M19" si="5">IF(K18="","",IF(J18*$L$9&gt;100000,100000*I18,K18*$L$9))</f>
        <v/>
      </c>
      <c r="N18" s="191"/>
      <c r="O18" s="191"/>
      <c r="P18" s="191"/>
    </row>
    <row r="19" spans="1:18" ht="37.65" customHeight="1">
      <c r="A19" s="193"/>
      <c r="B19" s="45" t="s">
        <v>158</v>
      </c>
      <c r="C19" s="135"/>
      <c r="D19" s="105"/>
      <c r="E19" s="210"/>
      <c r="F19" s="161"/>
      <c r="G19" s="161"/>
      <c r="H19" s="207"/>
      <c r="I19" s="146"/>
      <c r="J19" s="146"/>
      <c r="K19" s="31" t="str">
        <f t="shared" si="4"/>
        <v/>
      </c>
      <c r="L19" s="198"/>
      <c r="M19" s="23" t="str">
        <f t="shared" si="5"/>
        <v/>
      </c>
      <c r="N19" s="191"/>
      <c r="O19" s="191"/>
      <c r="P19" s="191"/>
    </row>
    <row r="20" spans="1:18" ht="37.65" customHeight="1">
      <c r="A20" s="193"/>
      <c r="B20" s="45" t="s">
        <v>159</v>
      </c>
      <c r="C20" s="136"/>
      <c r="D20" s="107"/>
      <c r="E20" s="211"/>
      <c r="F20" s="162"/>
      <c r="G20" s="162"/>
      <c r="H20" s="208"/>
      <c r="I20" s="34"/>
      <c r="J20" s="128"/>
      <c r="K20" s="41" t="str">
        <f>IF(J20="","",J20)</f>
        <v/>
      </c>
      <c r="L20" s="198"/>
      <c r="M20" s="18" t="str">
        <f>IF(K20="","",K20*$L$9)</f>
        <v/>
      </c>
      <c r="N20" s="191"/>
      <c r="O20" s="191"/>
      <c r="P20" s="191"/>
    </row>
    <row r="21" spans="1:18">
      <c r="A21" s="203" t="s">
        <v>16</v>
      </c>
      <c r="B21" s="204"/>
      <c r="C21" s="204"/>
      <c r="D21" s="204"/>
      <c r="E21" s="205"/>
      <c r="F21" s="16">
        <f>SUM(F14:F20)</f>
        <v>0</v>
      </c>
      <c r="G21" s="16">
        <f>SUM(G14:G20)</f>
        <v>0</v>
      </c>
      <c r="H21" s="16">
        <f>SUM(H14:H20)</f>
        <v>0</v>
      </c>
      <c r="I21" s="16"/>
      <c r="J21" s="16"/>
      <c r="K21" s="16">
        <f>SUM(K9:K20)</f>
        <v>0</v>
      </c>
      <c r="L21" s="199"/>
      <c r="M21" s="16">
        <f>SUM(M9:M20)</f>
        <v>0</v>
      </c>
      <c r="N21" s="192"/>
      <c r="O21" s="192"/>
      <c r="P21" s="192"/>
    </row>
    <row r="22" spans="1:18" ht="35" customHeight="1">
      <c r="B22" s="29" t="str">
        <f>IF(R17&gt;3,"！同一の種別かつ同一の連携目的で補助できる機種は1種類限りです！","")</f>
        <v/>
      </c>
    </row>
    <row r="23" spans="1:18" ht="18" customHeight="1">
      <c r="A23" s="9" t="s">
        <v>207</v>
      </c>
    </row>
    <row r="24" spans="1:18" ht="70" customHeight="1">
      <c r="A24" s="187"/>
      <c r="B24" s="188"/>
      <c r="C24" s="188"/>
      <c r="D24" s="188"/>
      <c r="E24" s="189"/>
      <c r="F24" s="86" t="str">
        <f>IF(A24="","「パッケージとしての活用方法の詳細」は必須項目です。","")</f>
        <v>「パッケージとしての活用方法の詳細」は必須項目です。</v>
      </c>
    </row>
  </sheetData>
  <sheetProtection algorithmName="SHA-512" hashValue="B5cGH4BU2glGYulOQAp1mKQvwRsw2cEj6EakCxwe4ERlQFBprJ5S99l09J0w48EfzciNlF545h/lhZ27KMMSvg==" saltValue="wYXVMpiwk4MICLOZfyIN2Q==" spinCount="100000" sheet="1" objects="1" scenarios="1"/>
  <mergeCells count="20">
    <mergeCell ref="N1:P1"/>
    <mergeCell ref="N2:P2"/>
    <mergeCell ref="N3:P3"/>
    <mergeCell ref="N4:P4"/>
    <mergeCell ref="N5:P5"/>
    <mergeCell ref="A24:E24"/>
    <mergeCell ref="P9:P21"/>
    <mergeCell ref="A9:A13"/>
    <mergeCell ref="A14:A20"/>
    <mergeCell ref="B9:B13"/>
    <mergeCell ref="N9:N21"/>
    <mergeCell ref="O9:O21"/>
    <mergeCell ref="L9:L21"/>
    <mergeCell ref="E9:E13"/>
    <mergeCell ref="A21:E21"/>
    <mergeCell ref="F9:F20"/>
    <mergeCell ref="G9:G20"/>
    <mergeCell ref="H9:H20"/>
    <mergeCell ref="E17:E20"/>
    <mergeCell ref="I9:I13"/>
  </mergeCells>
  <phoneticPr fontId="1"/>
  <dataValidations count="3">
    <dataValidation allowBlank="1" showInputMessage="1" sqref="E17" xr:uid="{C1BB3961-C83F-4938-BC97-9E791A99A234}"/>
    <dataValidation allowBlank="1" showInputMessage="1" showErrorMessage="1" prompt="情報端末の1台あたりの金額に補助率3/4を乗じて10万円を超える場合、10万円までが補助対象額となります。" sqref="J17:J19" xr:uid="{6DB0BB50-FC2E-4290-BB1A-7FDD5457C4F8}"/>
    <dataValidation type="list" allowBlank="1" showInputMessage="1" showErrorMessage="1" sqref="D9:D16" xr:uid="{8167E52F-E44C-4F18-87D1-A4F654885B26}">
      <formula1>"有,無"</formula1>
    </dataValidation>
  </dataValidations>
  <hyperlinks>
    <hyperlink ref="B6" location="事前設定シート!A1" display="事前設定シートへ戻る" xr:uid="{6159EAC0-B332-411E-AFC3-ABB4FEF6E07E}"/>
  </hyperlinks>
  <pageMargins left="0.7" right="0.7" top="0.75" bottom="0.75" header="0.3" footer="0.3"/>
  <pageSetup paperSize="8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A4041B-154A-45C1-A7E8-D86658BA8F4F}">
          <x14:formula1>
            <xm:f>データリスト!$C$23:$S$23</xm:f>
          </x14:formula1>
          <xm:sqref>B14:B16</xm:sqref>
        </x14:dataValidation>
        <x14:dataValidation type="list" allowBlank="1" showInputMessage="1" prompt="その他を選択した場合は（）内に具体的な使用目的を記載してください。" xr:uid="{B9216DB7-E19F-4019-B120-BBF57BE0E354}">
          <x14:formula1>
            <xm:f>データリスト!$C$24:$C$31</xm:f>
          </x14:formula1>
          <xm:sqref>E14:E16</xm:sqref>
        </x14:dataValidation>
        <x14:dataValidation type="list" allowBlank="1" showInputMessage="1" showErrorMessage="1" xr:uid="{F229590B-3922-41FA-A1C3-A9F4F86D42C1}">
          <x14:formula1>
            <xm:f>データリスト!$A$2:$A$53</xm:f>
          </x14:formula1>
          <xm:sqref>N4:P4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78DB-C8F4-4968-AAE0-3357F3D1AC27}">
  <sheetPr codeName="Sheet12"/>
  <dimension ref="A1:R24"/>
  <sheetViews>
    <sheetView view="pageBreakPreview" topLeftCell="A4" zoomScale="80" zoomScaleNormal="70" zoomScaleSheetLayoutView="80" workbookViewId="0">
      <selection activeCell="E27" sqref="E27"/>
    </sheetView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8.58203125" style="9" customWidth="1"/>
    <col min="6" max="11" width="13" style="9" customWidth="1"/>
    <col min="12" max="12" width="6.83203125" style="9" bestFit="1" customWidth="1"/>
    <col min="13" max="15" width="13" style="9" customWidth="1"/>
    <col min="16" max="16" width="14.08203125" style="9" customWidth="1"/>
    <col min="17" max="17" width="74.5" style="9" bestFit="1" customWidth="1"/>
    <col min="18" max="16384" width="8.83203125" style="9"/>
  </cols>
  <sheetData>
    <row r="1" spans="1:18">
      <c r="A1" s="9" t="s">
        <v>26</v>
      </c>
      <c r="L1" s="12"/>
      <c r="M1" s="12" t="s">
        <v>30</v>
      </c>
      <c r="N1" s="180"/>
      <c r="O1" s="180"/>
      <c r="P1" s="180"/>
    </row>
    <row r="2" spans="1:18">
      <c r="A2" s="9" t="s">
        <v>2</v>
      </c>
      <c r="L2" s="12"/>
      <c r="M2" s="12" t="s">
        <v>31</v>
      </c>
      <c r="N2" s="181"/>
      <c r="O2" s="181"/>
      <c r="P2" s="181"/>
    </row>
    <row r="3" spans="1:18">
      <c r="L3" s="12"/>
      <c r="M3" s="12" t="s">
        <v>32</v>
      </c>
      <c r="N3" s="181"/>
      <c r="O3" s="181"/>
      <c r="P3" s="181"/>
    </row>
    <row r="4" spans="1:18">
      <c r="A4" s="10" t="s">
        <v>5</v>
      </c>
      <c r="B4" s="10" t="s">
        <v>23</v>
      </c>
      <c r="C4" s="10"/>
      <c r="D4" s="11"/>
      <c r="E4" s="11"/>
      <c r="F4" s="11"/>
      <c r="G4" s="11"/>
      <c r="H4" s="11"/>
      <c r="I4" s="11"/>
      <c r="L4" s="12"/>
      <c r="M4" s="12" t="s">
        <v>33</v>
      </c>
      <c r="N4" s="182"/>
      <c r="O4" s="182"/>
      <c r="P4" s="182"/>
    </row>
    <row r="5" spans="1:18">
      <c r="A5" s="11"/>
      <c r="B5" s="11"/>
      <c r="C5" s="11"/>
      <c r="E5" s="11"/>
      <c r="F5" s="11"/>
      <c r="G5" s="11"/>
      <c r="H5" s="11"/>
      <c r="I5" s="11"/>
      <c r="L5" s="12"/>
      <c r="M5" s="12" t="s">
        <v>34</v>
      </c>
      <c r="N5" s="181"/>
      <c r="O5" s="181"/>
      <c r="P5" s="181"/>
    </row>
    <row r="6" spans="1:18" ht="40" customHeight="1">
      <c r="D6" s="109" t="str">
        <f>IF(COUNTIF(D9:D16,"無")&gt;0,"TAISに掲載されていない機器を導入する場合、別紙１－４を提出。","")</f>
        <v>TAISに掲載されていない機器を導入する場合、別紙１－４を提出。</v>
      </c>
      <c r="F6" s="58" t="s">
        <v>144</v>
      </c>
      <c r="G6" s="58" t="s">
        <v>145</v>
      </c>
      <c r="H6" s="58" t="s">
        <v>146</v>
      </c>
      <c r="I6" s="58" t="s">
        <v>147</v>
      </c>
      <c r="J6" s="58" t="s">
        <v>148</v>
      </c>
      <c r="K6" s="58" t="s">
        <v>149</v>
      </c>
      <c r="L6" s="58"/>
      <c r="M6" s="58" t="s">
        <v>150</v>
      </c>
      <c r="N6" s="58" t="s">
        <v>165</v>
      </c>
      <c r="O6" s="58" t="s">
        <v>152</v>
      </c>
      <c r="P6" s="49" t="s">
        <v>162</v>
      </c>
    </row>
    <row r="7" spans="1:18" s="4" customFormat="1" ht="60.5" customHeight="1">
      <c r="A7" s="101"/>
      <c r="B7" s="101" t="s">
        <v>4</v>
      </c>
      <c r="C7" s="101" t="s">
        <v>29</v>
      </c>
      <c r="D7" s="92" t="s">
        <v>132</v>
      </c>
      <c r="E7" s="101" t="s">
        <v>35</v>
      </c>
      <c r="F7" s="92" t="s">
        <v>143</v>
      </c>
      <c r="G7" s="101" t="s">
        <v>8</v>
      </c>
      <c r="H7" s="101" t="s">
        <v>9</v>
      </c>
      <c r="I7" s="92" t="s">
        <v>11</v>
      </c>
      <c r="J7" s="92" t="s">
        <v>137</v>
      </c>
      <c r="K7" s="92" t="s">
        <v>10</v>
      </c>
      <c r="L7" s="101" t="s">
        <v>12</v>
      </c>
      <c r="M7" s="92" t="s">
        <v>160</v>
      </c>
      <c r="N7" s="101" t="s">
        <v>161</v>
      </c>
      <c r="O7" s="92" t="s">
        <v>129</v>
      </c>
      <c r="P7" s="92" t="s">
        <v>180</v>
      </c>
    </row>
    <row r="8" spans="1:18" s="4" customFormat="1" ht="18" customHeight="1">
      <c r="A8" s="102"/>
      <c r="B8" s="103"/>
      <c r="C8" s="103"/>
      <c r="D8" s="96"/>
      <c r="E8" s="103"/>
      <c r="F8" s="103" t="s">
        <v>211</v>
      </c>
      <c r="G8" s="103" t="s">
        <v>211</v>
      </c>
      <c r="H8" s="103" t="s">
        <v>211</v>
      </c>
      <c r="I8" s="99" t="s">
        <v>212</v>
      </c>
      <c r="J8" s="99" t="s">
        <v>211</v>
      </c>
      <c r="K8" s="99" t="s">
        <v>211</v>
      </c>
      <c r="L8" s="103"/>
      <c r="M8" s="99" t="s">
        <v>211</v>
      </c>
      <c r="N8" s="99" t="s">
        <v>211</v>
      </c>
      <c r="O8" s="99" t="s">
        <v>211</v>
      </c>
      <c r="P8" s="99" t="s">
        <v>211</v>
      </c>
    </row>
    <row r="9" spans="1:18" ht="38.25" customHeight="1">
      <c r="A9" s="193" t="s">
        <v>24</v>
      </c>
      <c r="B9" s="194"/>
      <c r="C9" s="70" t="s">
        <v>193</v>
      </c>
      <c r="D9" s="114" t="s">
        <v>183</v>
      </c>
      <c r="E9" s="200"/>
      <c r="F9" s="216">
        <v>5100000</v>
      </c>
      <c r="G9" s="216">
        <v>0</v>
      </c>
      <c r="H9" s="206">
        <f>IF(F9="","",F9-G9)</f>
        <v>5100000</v>
      </c>
      <c r="I9" s="212"/>
      <c r="J9" s="62">
        <v>2000000</v>
      </c>
      <c r="K9" s="24">
        <f t="shared" ref="K9:K12" si="0">IF(J9="","",J9)</f>
        <v>2000000</v>
      </c>
      <c r="L9" s="197">
        <v>0.75</v>
      </c>
      <c r="M9" s="22">
        <f>IF(K9="","",K9*$L$9)</f>
        <v>1500000</v>
      </c>
      <c r="N9" s="190">
        <f>IF(F9="","",ROUNDDOWN(SUM(M9:M20),-3))</f>
        <v>3825000</v>
      </c>
      <c r="O9" s="190">
        <f>IF(N9="","",4000000)</f>
        <v>4000000</v>
      </c>
      <c r="P9" s="190">
        <f>IF(O9="","",ROUNDDOWN(MIN(H9,N9,O9),-3))</f>
        <v>3825000</v>
      </c>
    </row>
    <row r="10" spans="1:18" ht="38.25" customHeight="1">
      <c r="A10" s="193"/>
      <c r="B10" s="195"/>
      <c r="C10" s="71"/>
      <c r="D10" s="115"/>
      <c r="E10" s="201"/>
      <c r="F10" s="217"/>
      <c r="G10" s="217"/>
      <c r="H10" s="207"/>
      <c r="I10" s="168"/>
      <c r="J10" s="80"/>
      <c r="K10" s="25" t="str">
        <f t="shared" si="0"/>
        <v/>
      </c>
      <c r="L10" s="198"/>
      <c r="M10" s="23" t="str">
        <f t="shared" ref="M10:M16" si="1">IF(K10="","",K10*$L$9)</f>
        <v/>
      </c>
      <c r="N10" s="191"/>
      <c r="O10" s="191"/>
      <c r="P10" s="191"/>
    </row>
    <row r="11" spans="1:18" ht="38.25" customHeight="1">
      <c r="A11" s="193"/>
      <c r="B11" s="195"/>
      <c r="C11" s="71"/>
      <c r="D11" s="115"/>
      <c r="E11" s="201"/>
      <c r="F11" s="217"/>
      <c r="G11" s="217"/>
      <c r="H11" s="207"/>
      <c r="I11" s="168"/>
      <c r="J11" s="80"/>
      <c r="K11" s="25" t="str">
        <f t="shared" si="0"/>
        <v/>
      </c>
      <c r="L11" s="198"/>
      <c r="M11" s="23" t="str">
        <f t="shared" si="1"/>
        <v/>
      </c>
      <c r="N11" s="191"/>
      <c r="O11" s="191"/>
      <c r="P11" s="191"/>
    </row>
    <row r="12" spans="1:18" ht="38.25" customHeight="1">
      <c r="A12" s="193"/>
      <c r="B12" s="195"/>
      <c r="C12" s="71"/>
      <c r="D12" s="115"/>
      <c r="E12" s="201"/>
      <c r="F12" s="217"/>
      <c r="G12" s="217"/>
      <c r="H12" s="207"/>
      <c r="I12" s="168"/>
      <c r="J12" s="80"/>
      <c r="K12" s="25" t="str">
        <f t="shared" si="0"/>
        <v/>
      </c>
      <c r="L12" s="198"/>
      <c r="M12" s="23" t="str">
        <f t="shared" si="1"/>
        <v/>
      </c>
      <c r="N12" s="191"/>
      <c r="O12" s="191"/>
      <c r="P12" s="191"/>
    </row>
    <row r="13" spans="1:18" ht="38.25" customHeight="1">
      <c r="A13" s="193"/>
      <c r="B13" s="196"/>
      <c r="C13" s="72"/>
      <c r="D13" s="116"/>
      <c r="E13" s="202"/>
      <c r="F13" s="217"/>
      <c r="G13" s="217"/>
      <c r="H13" s="207"/>
      <c r="I13" s="169"/>
      <c r="J13" s="65"/>
      <c r="K13" s="55" t="str">
        <f>IF(J13="","",J13)</f>
        <v/>
      </c>
      <c r="L13" s="198"/>
      <c r="M13" s="53" t="str">
        <f t="shared" si="1"/>
        <v/>
      </c>
      <c r="N13" s="191"/>
      <c r="O13" s="191"/>
      <c r="P13" s="191"/>
    </row>
    <row r="14" spans="1:18" ht="37.65" customHeight="1">
      <c r="A14" s="193" t="s">
        <v>25</v>
      </c>
      <c r="B14" s="74" t="s">
        <v>81</v>
      </c>
      <c r="C14" s="70" t="s">
        <v>197</v>
      </c>
      <c r="D14" s="117" t="s">
        <v>183</v>
      </c>
      <c r="E14" s="75" t="s">
        <v>122</v>
      </c>
      <c r="F14" s="217"/>
      <c r="G14" s="217"/>
      <c r="H14" s="207"/>
      <c r="I14" s="62">
        <v>5</v>
      </c>
      <c r="J14" s="62">
        <v>200000</v>
      </c>
      <c r="K14" s="24">
        <f>IF(I14="","",I14*J14)</f>
        <v>1000000</v>
      </c>
      <c r="L14" s="198"/>
      <c r="M14" s="22">
        <f t="shared" si="1"/>
        <v>750000</v>
      </c>
      <c r="N14" s="191"/>
      <c r="O14" s="191"/>
      <c r="P14" s="191"/>
      <c r="Q14" s="9" t="str">
        <f>CONCATENATE(B14,E14)</f>
        <v>見守り・コミュニケーション（見守り（施設））記録業務に要する時間の短縮</v>
      </c>
      <c r="R14" s="9">
        <f>IF(B14="","",IF(Q14="","",COUNTIF($Q$14:$Q$16,Q14)))</f>
        <v>1</v>
      </c>
    </row>
    <row r="15" spans="1:18" ht="37.65" customHeight="1">
      <c r="A15" s="193"/>
      <c r="B15" s="76" t="s">
        <v>17</v>
      </c>
      <c r="C15" s="71" t="s">
        <v>213</v>
      </c>
      <c r="D15" s="115" t="s">
        <v>190</v>
      </c>
      <c r="E15" s="77" t="s">
        <v>124</v>
      </c>
      <c r="F15" s="217"/>
      <c r="G15" s="217"/>
      <c r="H15" s="207"/>
      <c r="I15" s="80">
        <v>1</v>
      </c>
      <c r="J15" s="80">
        <v>500000</v>
      </c>
      <c r="K15" s="25">
        <f t="shared" ref="K15:K16" si="2">IF(I15="","",I15*J15)</f>
        <v>500000</v>
      </c>
      <c r="L15" s="198"/>
      <c r="M15" s="23">
        <f t="shared" si="1"/>
        <v>375000</v>
      </c>
      <c r="N15" s="191"/>
      <c r="O15" s="191"/>
      <c r="P15" s="191"/>
      <c r="Q15" s="9" t="str">
        <f>CONCATENATE(B15,E15)</f>
        <v>その他職員の心理的負担の軽減</v>
      </c>
      <c r="R15" s="9">
        <f t="shared" ref="R15:R16" si="3">IF(B15="","",IF(Q15="","",COUNTIF($Q$14:$Q$16,Q15)))</f>
        <v>1</v>
      </c>
    </row>
    <row r="16" spans="1:18" ht="37.65" customHeight="1">
      <c r="A16" s="193"/>
      <c r="B16" s="78"/>
      <c r="C16" s="73"/>
      <c r="D16" s="118"/>
      <c r="E16" s="79"/>
      <c r="F16" s="217"/>
      <c r="G16" s="217"/>
      <c r="H16" s="207"/>
      <c r="I16" s="81"/>
      <c r="J16" s="81"/>
      <c r="K16" s="48" t="str">
        <f t="shared" si="2"/>
        <v/>
      </c>
      <c r="L16" s="198"/>
      <c r="M16" s="47" t="str">
        <f t="shared" si="1"/>
        <v/>
      </c>
      <c r="N16" s="191"/>
      <c r="O16" s="191"/>
      <c r="P16" s="191"/>
      <c r="Q16" s="9" t="str">
        <f>CONCATENATE(B16,E16)</f>
        <v/>
      </c>
      <c r="R16" s="9" t="str">
        <f t="shared" si="3"/>
        <v/>
      </c>
    </row>
    <row r="17" spans="1:18" ht="37.65" customHeight="1">
      <c r="A17" s="193"/>
      <c r="B17" s="46" t="s">
        <v>156</v>
      </c>
      <c r="C17" s="64" t="s">
        <v>184</v>
      </c>
      <c r="D17" s="106"/>
      <c r="E17" s="209"/>
      <c r="F17" s="217"/>
      <c r="G17" s="217"/>
      <c r="H17" s="207"/>
      <c r="I17" s="64">
        <v>5</v>
      </c>
      <c r="J17" s="64">
        <v>120000</v>
      </c>
      <c r="K17" s="31">
        <f>IF(I17="","",I17*J17)</f>
        <v>600000</v>
      </c>
      <c r="L17" s="198"/>
      <c r="M17" s="31">
        <f>IF(K17="","",IF(J17*$L$9&gt;100000,100000*I17,K17*$L$9))</f>
        <v>450000</v>
      </c>
      <c r="N17" s="191"/>
      <c r="O17" s="191"/>
      <c r="P17" s="191"/>
      <c r="R17" s="9">
        <f>SUM(R14:R16)</f>
        <v>2</v>
      </c>
    </row>
    <row r="18" spans="1:18" ht="37.65" customHeight="1">
      <c r="A18" s="193"/>
      <c r="B18" s="45" t="s">
        <v>157</v>
      </c>
      <c r="C18" s="64"/>
      <c r="D18" s="106"/>
      <c r="E18" s="210"/>
      <c r="F18" s="217"/>
      <c r="G18" s="217"/>
      <c r="H18" s="207"/>
      <c r="I18" s="64"/>
      <c r="J18" s="64"/>
      <c r="K18" s="31" t="str">
        <f t="shared" ref="K18:K19" si="4">IF(I18="","",I18*J18)</f>
        <v/>
      </c>
      <c r="L18" s="198"/>
      <c r="M18" s="23" t="str">
        <f t="shared" ref="M18:M19" si="5">IF(K18="","",IF(J18*$L$9&gt;100000,100000*I18,K18*$L$9))</f>
        <v/>
      </c>
      <c r="N18" s="191"/>
      <c r="O18" s="191"/>
      <c r="P18" s="191"/>
    </row>
    <row r="19" spans="1:18" ht="37.65" customHeight="1">
      <c r="A19" s="193"/>
      <c r="B19" s="45" t="s">
        <v>158</v>
      </c>
      <c r="C19" s="64"/>
      <c r="D19" s="105"/>
      <c r="E19" s="210"/>
      <c r="F19" s="217"/>
      <c r="G19" s="217"/>
      <c r="H19" s="207"/>
      <c r="I19" s="64"/>
      <c r="J19" s="64"/>
      <c r="K19" s="31" t="str">
        <f t="shared" si="4"/>
        <v/>
      </c>
      <c r="L19" s="198"/>
      <c r="M19" s="23" t="str">
        <f t="shared" si="5"/>
        <v/>
      </c>
      <c r="N19" s="191"/>
      <c r="O19" s="191"/>
      <c r="P19" s="191"/>
    </row>
    <row r="20" spans="1:18" ht="37.65" customHeight="1">
      <c r="A20" s="193"/>
      <c r="B20" s="45" t="s">
        <v>159</v>
      </c>
      <c r="C20" s="65" t="s">
        <v>187</v>
      </c>
      <c r="D20" s="107"/>
      <c r="E20" s="211"/>
      <c r="F20" s="218"/>
      <c r="G20" s="218"/>
      <c r="H20" s="208"/>
      <c r="I20" s="34"/>
      <c r="J20" s="65">
        <v>1000000</v>
      </c>
      <c r="K20" s="55">
        <f>IF(J20="","",J20)</f>
        <v>1000000</v>
      </c>
      <c r="L20" s="198"/>
      <c r="M20" s="54">
        <f>IF(K20="","",K20*$L$9)</f>
        <v>750000</v>
      </c>
      <c r="N20" s="191"/>
      <c r="O20" s="191"/>
      <c r="P20" s="191"/>
    </row>
    <row r="21" spans="1:18">
      <c r="A21" s="203" t="s">
        <v>16</v>
      </c>
      <c r="B21" s="204"/>
      <c r="C21" s="204"/>
      <c r="D21" s="204"/>
      <c r="E21" s="205"/>
      <c r="F21" s="16">
        <f>SUM(F9)</f>
        <v>5100000</v>
      </c>
      <c r="G21" s="16">
        <f t="shared" ref="G21:H21" si="6">SUM(G9)</f>
        <v>0</v>
      </c>
      <c r="H21" s="16">
        <f t="shared" si="6"/>
        <v>5100000</v>
      </c>
      <c r="I21" s="16"/>
      <c r="J21" s="16"/>
      <c r="K21" s="16">
        <f>SUM(K9:K20)</f>
        <v>5100000</v>
      </c>
      <c r="L21" s="199"/>
      <c r="M21" s="16">
        <f>SUM(M9:M20)</f>
        <v>3825000</v>
      </c>
      <c r="N21" s="192"/>
      <c r="O21" s="192"/>
      <c r="P21" s="192"/>
    </row>
    <row r="22" spans="1:18" ht="35" customHeight="1">
      <c r="B22" s="29" t="str">
        <f>IF(R17&gt;3,"！同一の種別かつ同一の連携目的で補助できる機種は1種類限りです！","")</f>
        <v/>
      </c>
    </row>
    <row r="23" spans="1:18" ht="18" customHeight="1">
      <c r="A23" s="9" t="s">
        <v>207</v>
      </c>
    </row>
    <row r="24" spans="1:18" ht="65" customHeight="1">
      <c r="A24" s="213" t="s">
        <v>208</v>
      </c>
      <c r="B24" s="214"/>
      <c r="C24" s="214"/>
      <c r="D24" s="214"/>
      <c r="E24" s="215"/>
      <c r="F24" s="86" t="str">
        <f>IF(A24="","「パッケージとしての活用方法の詳細」は必須項目です","")</f>
        <v/>
      </c>
    </row>
  </sheetData>
  <sheetProtection algorithmName="SHA-512" hashValue="z6dWjKGNXgVmk2P2kMNGAq43zMdA0upsNG15v0zKdP9djGCLHTXqv8knp3o7K1BAn2cqFPkK94oCi0tminfXLg==" saltValue="KXP3xJ4wYYmr0/zLlBpWow==" spinCount="100000" sheet="1" objects="1" scenarios="1"/>
  <mergeCells count="20">
    <mergeCell ref="L9:L21"/>
    <mergeCell ref="N9:N21"/>
    <mergeCell ref="O9:O21"/>
    <mergeCell ref="P9:P21"/>
    <mergeCell ref="N1:P1"/>
    <mergeCell ref="N2:P2"/>
    <mergeCell ref="N3:P3"/>
    <mergeCell ref="N4:P4"/>
    <mergeCell ref="N5:P5"/>
    <mergeCell ref="I9:I13"/>
    <mergeCell ref="A9:A13"/>
    <mergeCell ref="B9:B13"/>
    <mergeCell ref="E9:E13"/>
    <mergeCell ref="F9:F20"/>
    <mergeCell ref="G9:G20"/>
    <mergeCell ref="A24:E24"/>
    <mergeCell ref="A14:A20"/>
    <mergeCell ref="E17:E20"/>
    <mergeCell ref="A21:E21"/>
    <mergeCell ref="H9:H20"/>
  </mergeCells>
  <phoneticPr fontId="1"/>
  <dataValidations count="3">
    <dataValidation allowBlank="1" showInputMessage="1" showErrorMessage="1" prompt="情報端末の1台あたりの金額に補助率3/4を乗じて10万円を超える場合、10万円までが補助対象額となります。" sqref="J17:J19" xr:uid="{1DAB191C-5524-49B5-AC00-EE95C8AD76A3}"/>
    <dataValidation allowBlank="1" showInputMessage="1" sqref="E17" xr:uid="{62D53F4B-A860-49DE-A37D-CF082E06C785}"/>
    <dataValidation type="list" allowBlank="1" showInputMessage="1" showErrorMessage="1" sqref="D9:D16" xr:uid="{23DE6FB5-0965-4D70-BC85-461634D39A36}">
      <formula1>"有,無"</formula1>
    </dataValidation>
  </dataValidations>
  <pageMargins left="0.7" right="0.7" top="0.75" bottom="0.75" header="0.3" footer="0.3"/>
  <pageSetup paperSize="9" scale="3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9A4E4B-5DC7-4613-AA23-FE45314330F5}">
          <x14:formula1>
            <xm:f>データリスト!$A$2:$A$53</xm:f>
          </x14:formula1>
          <xm:sqref>N4:P4</xm:sqref>
        </x14:dataValidation>
        <x14:dataValidation type="list" allowBlank="1" showInputMessage="1" prompt="その他を選択した場合は（）内に具体的な使用目的を記載してください。" xr:uid="{C615D359-1C01-4914-A2D4-7A27999C60EA}">
          <x14:formula1>
            <xm:f>データリスト!$C$24:$C$31</xm:f>
          </x14:formula1>
          <xm:sqref>E14:E16</xm:sqref>
        </x14:dataValidation>
        <x14:dataValidation type="list" allowBlank="1" showInputMessage="1" showErrorMessage="1" xr:uid="{980ED59C-71B1-4DFE-84A0-1FBA5EC267A9}">
          <x14:formula1>
            <xm:f>データリスト!$C$23:$S$23</xm:f>
          </x14:formula1>
          <xm:sqref>B14:B16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1111-5C85-43B2-9988-A23004FBE8A0}">
  <sheetPr codeName="Sheet13"/>
  <dimension ref="A1:L14"/>
  <sheetViews>
    <sheetView view="pageBreakPreview" zoomScale="80" zoomScaleNormal="70" zoomScaleSheetLayoutView="80" workbookViewId="0">
      <selection activeCell="B6" sqref="B6"/>
    </sheetView>
  </sheetViews>
  <sheetFormatPr defaultRowHeight="18"/>
  <cols>
    <col min="1" max="1" width="5.4140625" customWidth="1"/>
    <col min="2" max="2" width="26.08203125" bestFit="1" customWidth="1"/>
    <col min="3" max="3" width="25.4140625" customWidth="1"/>
    <col min="4" max="7" width="13" customWidth="1"/>
    <col min="8" max="8" width="5.9140625" customWidth="1"/>
    <col min="9" max="11" width="13" customWidth="1"/>
    <col min="12" max="12" width="15.5" customWidth="1"/>
  </cols>
  <sheetData>
    <row r="1" spans="1:12">
      <c r="A1" t="s">
        <v>205</v>
      </c>
      <c r="I1" s="12" t="s">
        <v>30</v>
      </c>
      <c r="J1" s="176"/>
      <c r="K1" s="176"/>
      <c r="L1" s="176"/>
    </row>
    <row r="2" spans="1:12">
      <c r="A2" t="s">
        <v>2</v>
      </c>
      <c r="I2" s="12" t="s">
        <v>31</v>
      </c>
      <c r="J2" s="175"/>
      <c r="K2" s="175"/>
      <c r="L2" s="175"/>
    </row>
    <row r="3" spans="1:12">
      <c r="I3" s="12" t="s">
        <v>32</v>
      </c>
      <c r="J3" s="175"/>
      <c r="K3" s="175"/>
      <c r="L3" s="175"/>
    </row>
    <row r="4" spans="1:12">
      <c r="A4" s="8" t="s">
        <v>5</v>
      </c>
      <c r="B4" s="8" t="s">
        <v>21</v>
      </c>
      <c r="C4" s="7"/>
      <c r="D4" s="7"/>
      <c r="E4" s="7"/>
      <c r="I4" s="12" t="s">
        <v>33</v>
      </c>
      <c r="J4" s="174"/>
      <c r="K4" s="174"/>
      <c r="L4" s="174"/>
    </row>
    <row r="5" spans="1:12">
      <c r="A5" s="7"/>
      <c r="B5" s="7"/>
      <c r="C5" s="7"/>
      <c r="D5" s="7"/>
      <c r="E5" s="7"/>
      <c r="I5" s="12" t="s">
        <v>34</v>
      </c>
      <c r="J5" s="175"/>
      <c r="K5" s="175"/>
      <c r="L5" s="175"/>
    </row>
    <row r="6" spans="1:12" ht="40" customHeight="1">
      <c r="B6" s="83" t="s">
        <v>201</v>
      </c>
      <c r="D6" s="43" t="s">
        <v>144</v>
      </c>
      <c r="E6" s="43" t="s">
        <v>145</v>
      </c>
      <c r="F6" s="43" t="s">
        <v>146</v>
      </c>
      <c r="G6" s="43" t="s">
        <v>147</v>
      </c>
      <c r="H6" s="43"/>
      <c r="I6" s="50" t="s">
        <v>166</v>
      </c>
      <c r="J6" s="51" t="s">
        <v>167</v>
      </c>
      <c r="K6" s="43" t="s">
        <v>163</v>
      </c>
      <c r="L6" s="49" t="s">
        <v>168</v>
      </c>
    </row>
    <row r="7" spans="1:12" s="4" customFormat="1" ht="57" customHeight="1">
      <c r="A7" s="101"/>
      <c r="B7" s="101" t="s">
        <v>4</v>
      </c>
      <c r="C7" s="101" t="s">
        <v>22</v>
      </c>
      <c r="D7" s="101" t="s">
        <v>7</v>
      </c>
      <c r="E7" s="101" t="s">
        <v>8</v>
      </c>
      <c r="F7" s="101" t="s">
        <v>9</v>
      </c>
      <c r="G7" s="101" t="s">
        <v>10</v>
      </c>
      <c r="H7" s="101" t="s">
        <v>12</v>
      </c>
      <c r="I7" s="101" t="s">
        <v>160</v>
      </c>
      <c r="J7" s="101" t="s">
        <v>161</v>
      </c>
      <c r="K7" s="92" t="s">
        <v>129</v>
      </c>
      <c r="L7" s="92" t="s">
        <v>180</v>
      </c>
    </row>
    <row r="8" spans="1:12" s="4" customFormat="1" ht="18" customHeight="1">
      <c r="A8" s="102"/>
      <c r="B8" s="103"/>
      <c r="C8" s="103"/>
      <c r="D8" s="103" t="s">
        <v>211</v>
      </c>
      <c r="E8" s="103" t="s">
        <v>211</v>
      </c>
      <c r="F8" s="103" t="s">
        <v>211</v>
      </c>
      <c r="G8" s="103" t="s">
        <v>211</v>
      </c>
      <c r="H8" s="103"/>
      <c r="I8" s="103" t="s">
        <v>211</v>
      </c>
      <c r="J8" s="103" t="s">
        <v>211</v>
      </c>
      <c r="K8" s="103" t="s">
        <v>211</v>
      </c>
      <c r="L8" s="103" t="s">
        <v>211</v>
      </c>
    </row>
    <row r="9" spans="1:12" ht="38.25" customHeight="1">
      <c r="A9" s="193" t="s">
        <v>21</v>
      </c>
      <c r="B9" s="148"/>
      <c r="C9" s="134"/>
      <c r="D9" s="160"/>
      <c r="E9" s="160"/>
      <c r="F9" s="219" t="str">
        <f>IF(E9="","",D9-E9)</f>
        <v/>
      </c>
      <c r="G9" s="123"/>
      <c r="H9" s="171">
        <v>0.75</v>
      </c>
      <c r="I9" s="22" t="str">
        <f>IF(G9="","",G9*$H$9)</f>
        <v/>
      </c>
      <c r="J9" s="219" t="str">
        <f>IF(F9="","",ROUNDDOWN(SUM(I9:I13),-3))</f>
        <v/>
      </c>
      <c r="K9" s="219" t="str">
        <f>IF(J9="","",450000)</f>
        <v/>
      </c>
      <c r="L9" s="219" t="str">
        <f>IF(K9="","",ROUNDDOWN(MIN(F9,J9,K9),-3))</f>
        <v/>
      </c>
    </row>
    <row r="10" spans="1:12" ht="38.25" customHeight="1">
      <c r="A10" s="193"/>
      <c r="B10" s="149"/>
      <c r="C10" s="150"/>
      <c r="D10" s="161"/>
      <c r="E10" s="161"/>
      <c r="F10" s="220"/>
      <c r="G10" s="146"/>
      <c r="H10" s="172"/>
      <c r="I10" s="23" t="str">
        <f>IF(G10="","",G10*$H$9)</f>
        <v/>
      </c>
      <c r="J10" s="220"/>
      <c r="K10" s="220"/>
      <c r="L10" s="220"/>
    </row>
    <row r="11" spans="1:12" ht="38.25" customHeight="1">
      <c r="A11" s="193"/>
      <c r="B11" s="149"/>
      <c r="C11" s="150"/>
      <c r="D11" s="161"/>
      <c r="E11" s="161"/>
      <c r="F11" s="220"/>
      <c r="G11" s="146"/>
      <c r="H11" s="172"/>
      <c r="I11" s="23" t="str">
        <f>IF(G11="","",G11*$H$9)</f>
        <v/>
      </c>
      <c r="J11" s="220"/>
      <c r="K11" s="220"/>
      <c r="L11" s="220"/>
    </row>
    <row r="12" spans="1:12" ht="38.25" customHeight="1">
      <c r="A12" s="193"/>
      <c r="B12" s="149"/>
      <c r="C12" s="150"/>
      <c r="D12" s="161"/>
      <c r="E12" s="161"/>
      <c r="F12" s="220"/>
      <c r="G12" s="146"/>
      <c r="H12" s="172"/>
      <c r="I12" s="23" t="str">
        <f>IF(G12="","",G12*$H$9)</f>
        <v/>
      </c>
      <c r="J12" s="220"/>
      <c r="K12" s="220"/>
      <c r="L12" s="220"/>
    </row>
    <row r="13" spans="1:12" ht="38.25" customHeight="1">
      <c r="A13" s="193"/>
      <c r="B13" s="151"/>
      <c r="C13" s="152"/>
      <c r="D13" s="162"/>
      <c r="E13" s="162"/>
      <c r="F13" s="221"/>
      <c r="G13" s="128"/>
      <c r="H13" s="173"/>
      <c r="I13" s="17" t="str">
        <f>IF(G13="","",G13*$H$9)</f>
        <v/>
      </c>
      <c r="J13" s="221"/>
      <c r="K13" s="221"/>
      <c r="L13" s="221"/>
    </row>
    <row r="14" spans="1:12">
      <c r="A14" s="222" t="s">
        <v>16</v>
      </c>
      <c r="B14" s="223"/>
      <c r="C14" s="224"/>
      <c r="D14" s="27">
        <f>SUM(D9:D13)</f>
        <v>0</v>
      </c>
      <c r="E14" s="27">
        <f>SUM(E9:E13)</f>
        <v>0</v>
      </c>
      <c r="F14" s="27">
        <f>SUM(F9:F13)</f>
        <v>0</v>
      </c>
      <c r="G14" s="27">
        <f>SUM(G9:G13)</f>
        <v>0</v>
      </c>
      <c r="H14" s="6"/>
      <c r="I14" s="27">
        <f>SUM(I9:I13)</f>
        <v>0</v>
      </c>
      <c r="J14" s="27">
        <f>SUM(J9:J13)</f>
        <v>0</v>
      </c>
      <c r="K14" s="27">
        <f>SUM(K9:K13)</f>
        <v>0</v>
      </c>
      <c r="L14" s="27">
        <f>SUM(L9:L13)</f>
        <v>0</v>
      </c>
    </row>
  </sheetData>
  <sheetProtection algorithmName="SHA-512" hashValue="fI38zI0EGwqtJSNXyvpdNyK2rrEzth23XCfShy03Poky07uSHnxtyDgBgDayg8dqvylpdUCbj9kNEjYUt+mLcw==" saltValue="BQnmMBlttfgtGKkKBr+UFw==" spinCount="100000" sheet="1" objects="1" scenarios="1"/>
  <mergeCells count="14">
    <mergeCell ref="J1:L1"/>
    <mergeCell ref="J2:L2"/>
    <mergeCell ref="J3:L3"/>
    <mergeCell ref="J4:L4"/>
    <mergeCell ref="J5:L5"/>
    <mergeCell ref="A9:A13"/>
    <mergeCell ref="H9:H13"/>
    <mergeCell ref="K9:K13"/>
    <mergeCell ref="A14:C14"/>
    <mergeCell ref="L9:L13"/>
    <mergeCell ref="J9:J13"/>
    <mergeCell ref="D9:D13"/>
    <mergeCell ref="E9:E13"/>
    <mergeCell ref="F9:F13"/>
  </mergeCells>
  <phoneticPr fontId="1"/>
  <hyperlinks>
    <hyperlink ref="B6" location="事前設定シート!A1" display="事前設定シートへ戻る" xr:uid="{85ECBE1C-162F-4276-86E4-441DA1135B68}"/>
  </hyperlinks>
  <pageMargins left="0.7" right="0.7" top="0.75" bottom="0.75" header="0.3" footer="0.3"/>
  <pageSetup paperSize="9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139FD6-2E5B-47CD-91B3-8777096A45C6}">
          <x14:formula1>
            <xm:f>データリスト!$B$33:$B$34</xm:f>
          </x14:formula1>
          <xm:sqref>B9:B13</xm:sqref>
        </x14:dataValidation>
        <x14:dataValidation type="list" allowBlank="1" showInputMessage="1" showErrorMessage="1" xr:uid="{E6DD6912-416E-4400-9E18-7DF6F6AA7CD6}">
          <x14:formula1>
            <xm:f>データリスト!$A$2:$A$53</xm:f>
          </x14:formula1>
          <xm:sqref>J4:L4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FD01-FCBD-4806-9247-BC7ED27233B0}">
  <sheetPr codeName="Sheet14"/>
  <dimension ref="A1:L14"/>
  <sheetViews>
    <sheetView view="pageBreakPreview" zoomScale="80" zoomScaleNormal="70" zoomScaleSheetLayoutView="80" workbookViewId="0">
      <selection activeCell="E27" sqref="E27"/>
    </sheetView>
  </sheetViews>
  <sheetFormatPr defaultRowHeight="18"/>
  <cols>
    <col min="1" max="1" width="5.4140625" customWidth="1"/>
    <col min="2" max="2" width="26.08203125" bestFit="1" customWidth="1"/>
    <col min="3" max="3" width="25.4140625" customWidth="1"/>
    <col min="4" max="7" width="13" customWidth="1"/>
    <col min="8" max="8" width="5.9140625" customWidth="1"/>
    <col min="9" max="11" width="13" customWidth="1"/>
    <col min="12" max="12" width="15.5" customWidth="1"/>
  </cols>
  <sheetData>
    <row r="1" spans="1:12">
      <c r="A1" t="s">
        <v>205</v>
      </c>
      <c r="I1" s="12" t="s">
        <v>30</v>
      </c>
      <c r="J1" s="180"/>
      <c r="K1" s="180"/>
      <c r="L1" s="180"/>
    </row>
    <row r="2" spans="1:12">
      <c r="A2" t="s">
        <v>2</v>
      </c>
      <c r="I2" s="12" t="s">
        <v>31</v>
      </c>
      <c r="J2" s="181"/>
      <c r="K2" s="181"/>
      <c r="L2" s="181"/>
    </row>
    <row r="3" spans="1:12">
      <c r="I3" s="12" t="s">
        <v>32</v>
      </c>
      <c r="J3" s="181"/>
      <c r="K3" s="181"/>
      <c r="L3" s="181"/>
    </row>
    <row r="4" spans="1:12">
      <c r="A4" s="8" t="s">
        <v>5</v>
      </c>
      <c r="B4" s="8" t="s">
        <v>21</v>
      </c>
      <c r="C4" s="7"/>
      <c r="D4" s="7"/>
      <c r="E4" s="7"/>
      <c r="I4" s="12" t="s">
        <v>33</v>
      </c>
      <c r="J4" s="182"/>
      <c r="K4" s="182"/>
      <c r="L4" s="182"/>
    </row>
    <row r="5" spans="1:12">
      <c r="A5" s="7"/>
      <c r="B5" s="7"/>
      <c r="C5" s="7"/>
      <c r="D5" s="7"/>
      <c r="E5" s="7"/>
      <c r="I5" s="12" t="s">
        <v>34</v>
      </c>
      <c r="J5" s="181"/>
      <c r="K5" s="181"/>
      <c r="L5" s="181"/>
    </row>
    <row r="6" spans="1:12" ht="40" customHeight="1">
      <c r="D6" s="58" t="s">
        <v>144</v>
      </c>
      <c r="E6" s="58" t="s">
        <v>145</v>
      </c>
      <c r="F6" s="58" t="s">
        <v>146</v>
      </c>
      <c r="G6" s="58" t="s">
        <v>147</v>
      </c>
      <c r="H6" s="58"/>
      <c r="I6" s="50" t="s">
        <v>166</v>
      </c>
      <c r="J6" s="51" t="s">
        <v>167</v>
      </c>
      <c r="K6" s="58" t="s">
        <v>163</v>
      </c>
      <c r="L6" s="49" t="s">
        <v>168</v>
      </c>
    </row>
    <row r="7" spans="1:12" s="4" customFormat="1" ht="57" customHeight="1">
      <c r="A7" s="101"/>
      <c r="B7" s="101" t="s">
        <v>4</v>
      </c>
      <c r="C7" s="101" t="s">
        <v>22</v>
      </c>
      <c r="D7" s="92" t="s">
        <v>143</v>
      </c>
      <c r="E7" s="101" t="s">
        <v>8</v>
      </c>
      <c r="F7" s="101" t="s">
        <v>9</v>
      </c>
      <c r="G7" s="101" t="s">
        <v>10</v>
      </c>
      <c r="H7" s="101" t="s">
        <v>12</v>
      </c>
      <c r="I7" s="101" t="s">
        <v>160</v>
      </c>
      <c r="J7" s="101" t="s">
        <v>161</v>
      </c>
      <c r="K7" s="92" t="s">
        <v>129</v>
      </c>
      <c r="L7" s="92" t="s">
        <v>180</v>
      </c>
    </row>
    <row r="8" spans="1:12" s="4" customFormat="1" ht="18" customHeight="1">
      <c r="A8" s="102"/>
      <c r="B8" s="103"/>
      <c r="C8" s="103"/>
      <c r="D8" s="103" t="s">
        <v>211</v>
      </c>
      <c r="E8" s="103" t="s">
        <v>211</v>
      </c>
      <c r="F8" s="103" t="s">
        <v>211</v>
      </c>
      <c r="G8" s="103" t="s">
        <v>211</v>
      </c>
      <c r="H8" s="103"/>
      <c r="I8" s="103" t="s">
        <v>211</v>
      </c>
      <c r="J8" s="103" t="s">
        <v>211</v>
      </c>
      <c r="K8" s="103" t="s">
        <v>211</v>
      </c>
      <c r="L8" s="103" t="s">
        <v>211</v>
      </c>
    </row>
    <row r="9" spans="1:12" ht="38.25" customHeight="1">
      <c r="A9" s="193" t="s">
        <v>21</v>
      </c>
      <c r="B9" s="87" t="s">
        <v>128</v>
      </c>
      <c r="C9" s="70" t="s">
        <v>200</v>
      </c>
      <c r="D9" s="186">
        <v>50000</v>
      </c>
      <c r="E9" s="186">
        <v>0</v>
      </c>
      <c r="F9" s="219">
        <f>IF(E9="","",D9-E9)</f>
        <v>50000</v>
      </c>
      <c r="G9" s="62">
        <v>50000</v>
      </c>
      <c r="H9" s="171">
        <v>0.75</v>
      </c>
      <c r="I9" s="22">
        <f>IF(G9="","",G9*$H$9)</f>
        <v>37500</v>
      </c>
      <c r="J9" s="219">
        <f>IF(F9="","",ROUNDDOWN(SUM(I9:I13),-3))</f>
        <v>37000</v>
      </c>
      <c r="K9" s="219">
        <f>IF(J9="","",450000)</f>
        <v>450000</v>
      </c>
      <c r="L9" s="219">
        <f>IF(K9="","",ROUNDDOWN(MIN(F9,J9,K9),-3))</f>
        <v>37000</v>
      </c>
    </row>
    <row r="10" spans="1:12" ht="38.25" customHeight="1">
      <c r="A10" s="193"/>
      <c r="B10" s="88"/>
      <c r="C10" s="89"/>
      <c r="D10" s="184"/>
      <c r="E10" s="184"/>
      <c r="F10" s="220"/>
      <c r="G10" s="80"/>
      <c r="H10" s="172"/>
      <c r="I10" s="23" t="str">
        <f>IF(G10="","",G10*$H$9)</f>
        <v/>
      </c>
      <c r="J10" s="220"/>
      <c r="K10" s="220"/>
      <c r="L10" s="220"/>
    </row>
    <row r="11" spans="1:12" ht="38.25" customHeight="1">
      <c r="A11" s="193"/>
      <c r="B11" s="88"/>
      <c r="C11" s="89"/>
      <c r="D11" s="184"/>
      <c r="E11" s="184"/>
      <c r="F11" s="220"/>
      <c r="G11" s="80"/>
      <c r="H11" s="172"/>
      <c r="I11" s="23" t="str">
        <f>IF(G11="","",G11*$H$9)</f>
        <v/>
      </c>
      <c r="J11" s="220"/>
      <c r="K11" s="220"/>
      <c r="L11" s="220"/>
    </row>
    <row r="12" spans="1:12" ht="38.25" customHeight="1">
      <c r="A12" s="193"/>
      <c r="B12" s="88"/>
      <c r="C12" s="89"/>
      <c r="D12" s="184"/>
      <c r="E12" s="184"/>
      <c r="F12" s="220"/>
      <c r="G12" s="80"/>
      <c r="H12" s="172"/>
      <c r="I12" s="23" t="str">
        <f>IF(G12="","",G12*$H$9)</f>
        <v/>
      </c>
      <c r="J12" s="220"/>
      <c r="K12" s="220"/>
      <c r="L12" s="220"/>
    </row>
    <row r="13" spans="1:12" ht="38.25" customHeight="1">
      <c r="A13" s="193"/>
      <c r="B13" s="90"/>
      <c r="C13" s="91"/>
      <c r="D13" s="185"/>
      <c r="E13" s="185"/>
      <c r="F13" s="221"/>
      <c r="G13" s="85"/>
      <c r="H13" s="173"/>
      <c r="I13" s="53" t="str">
        <f>IF(G13="","",G13*$H$9)</f>
        <v/>
      </c>
      <c r="J13" s="221"/>
      <c r="K13" s="221"/>
      <c r="L13" s="221"/>
    </row>
    <row r="14" spans="1:12">
      <c r="A14" s="222" t="s">
        <v>16</v>
      </c>
      <c r="B14" s="223"/>
      <c r="C14" s="224"/>
      <c r="D14" s="27">
        <f>SUM(D9:D13)</f>
        <v>50000</v>
      </c>
      <c r="E14" s="27">
        <f>SUM(E9:E13)</f>
        <v>0</v>
      </c>
      <c r="F14" s="27">
        <f>SUM(F9:F13)</f>
        <v>50000</v>
      </c>
      <c r="G14" s="27">
        <f>SUM(G9:G13)</f>
        <v>50000</v>
      </c>
      <c r="H14" s="6"/>
      <c r="I14" s="27">
        <f>SUM(I9:I13)</f>
        <v>37500</v>
      </c>
      <c r="J14" s="27">
        <f>SUM(J9:J13)</f>
        <v>37000</v>
      </c>
      <c r="K14" s="27">
        <f>SUM(K9:K13)</f>
        <v>450000</v>
      </c>
      <c r="L14" s="27">
        <f>SUM(L9:L13)</f>
        <v>37000</v>
      </c>
    </row>
  </sheetData>
  <sheetProtection algorithmName="SHA-512" hashValue="kRrvHZtRng9uCNGKVLrhw6AmgyYZaWVzcM3EfR8yJk/2plhrT2LFVYQ4O1FV3I9r03tx4KNMjOS4j6Hh2MibXQ==" saltValue="F8VF+19daXaWyt2ha193SA==" spinCount="100000" sheet="1" objects="1" scenarios="1"/>
  <mergeCells count="14">
    <mergeCell ref="J9:J13"/>
    <mergeCell ref="K9:K13"/>
    <mergeCell ref="L9:L13"/>
    <mergeCell ref="A14:C14"/>
    <mergeCell ref="J1:L1"/>
    <mergeCell ref="J2:L2"/>
    <mergeCell ref="J3:L3"/>
    <mergeCell ref="J4:L4"/>
    <mergeCell ref="J5:L5"/>
    <mergeCell ref="A9:A13"/>
    <mergeCell ref="D9:D13"/>
    <mergeCell ref="E9:E13"/>
    <mergeCell ref="F9:F13"/>
    <mergeCell ref="H9:H13"/>
  </mergeCells>
  <phoneticPr fontId="1"/>
  <pageMargins left="0.7" right="0.7" top="0.75" bottom="0.75" header="0.3" footer="0.3"/>
  <pageSetup paperSize="9" scale="4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B88552C-834A-4820-9B85-3846B722C4D2}">
          <x14:formula1>
            <xm:f>データリスト!$A$2:$A$53</xm:f>
          </x14:formula1>
          <xm:sqref>J4:L4</xm:sqref>
        </x14:dataValidation>
        <x14:dataValidation type="list" allowBlank="1" showInputMessage="1" showErrorMessage="1" xr:uid="{14B6451E-734A-48A5-8C2D-B4F72D9C7558}">
          <x14:formula1>
            <xm:f>データリスト!$B$33:$B$34</xm:f>
          </x14:formula1>
          <xm:sqref>B9:B13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2256-C0A3-441E-858B-C18F9ED9AEE9}">
  <sheetPr codeName="Sheet15"/>
  <dimension ref="A1:U53"/>
  <sheetViews>
    <sheetView topLeftCell="O10" workbookViewId="0">
      <selection activeCell="S29" sqref="S29"/>
    </sheetView>
  </sheetViews>
  <sheetFormatPr defaultRowHeight="18"/>
  <cols>
    <col min="1" max="1" width="43.6640625" bestFit="1" customWidth="1"/>
    <col min="3" max="11" width="28.08203125" bestFit="1" customWidth="1"/>
    <col min="12" max="13" width="43.6640625" bestFit="1" customWidth="1"/>
    <col min="14" max="14" width="47.58203125" bestFit="1" customWidth="1"/>
    <col min="15" max="17" width="28.08203125" bestFit="1" customWidth="1"/>
    <col min="18" max="18" width="30" bestFit="1" customWidth="1"/>
    <col min="19" max="20" width="28.08203125" bestFit="1" customWidth="1"/>
    <col min="21" max="21" width="29.58203125" bestFit="1" customWidth="1"/>
  </cols>
  <sheetData>
    <row r="1" spans="1:18">
      <c r="A1" s="13" t="s">
        <v>42</v>
      </c>
      <c r="B1" s="13" t="s">
        <v>69</v>
      </c>
    </row>
    <row r="2" spans="1:18">
      <c r="A2" t="s">
        <v>36</v>
      </c>
      <c r="B2" s="14" t="s">
        <v>70</v>
      </c>
      <c r="C2" s="14" t="s">
        <v>72</v>
      </c>
      <c r="D2" s="14" t="s">
        <v>73</v>
      </c>
      <c r="E2" s="14" t="s">
        <v>74</v>
      </c>
      <c r="F2" s="14" t="s">
        <v>75</v>
      </c>
      <c r="G2" s="14" t="s">
        <v>76</v>
      </c>
      <c r="H2" s="14" t="s">
        <v>77</v>
      </c>
      <c r="I2" s="14" t="s">
        <v>78</v>
      </c>
      <c r="J2" s="14" t="s">
        <v>79</v>
      </c>
      <c r="K2" s="14" t="s">
        <v>80</v>
      </c>
      <c r="L2" s="14" t="s">
        <v>81</v>
      </c>
      <c r="M2" s="14" t="s">
        <v>82</v>
      </c>
      <c r="N2" s="14" t="s">
        <v>83</v>
      </c>
      <c r="O2" s="14" t="s">
        <v>24</v>
      </c>
      <c r="P2" s="14" t="s">
        <v>84</v>
      </c>
      <c r="Q2" s="14" t="s">
        <v>85</v>
      </c>
      <c r="R2" s="14" t="s">
        <v>86</v>
      </c>
    </row>
    <row r="3" spans="1:18">
      <c r="A3" t="s">
        <v>37</v>
      </c>
      <c r="B3" s="225" t="s">
        <v>71</v>
      </c>
      <c r="C3" s="5" t="s">
        <v>122</v>
      </c>
      <c r="D3" s="5" t="s">
        <v>122</v>
      </c>
      <c r="E3" s="5" t="s">
        <v>122</v>
      </c>
      <c r="F3" s="5" t="s">
        <v>122</v>
      </c>
      <c r="G3" s="5" t="s">
        <v>122</v>
      </c>
      <c r="H3" s="5" t="s">
        <v>122</v>
      </c>
      <c r="I3" s="5" t="s">
        <v>122</v>
      </c>
      <c r="J3" s="5" t="s">
        <v>122</v>
      </c>
      <c r="K3" s="5" t="s">
        <v>122</v>
      </c>
      <c r="L3" s="5" t="s">
        <v>122</v>
      </c>
      <c r="M3" s="5" t="s">
        <v>122</v>
      </c>
      <c r="N3" s="5" t="s">
        <v>122</v>
      </c>
      <c r="O3" s="5" t="s">
        <v>122</v>
      </c>
      <c r="P3" s="5" t="s">
        <v>122</v>
      </c>
      <c r="Q3" s="5" t="s">
        <v>122</v>
      </c>
      <c r="R3" s="5" t="s">
        <v>122</v>
      </c>
    </row>
    <row r="4" spans="1:18">
      <c r="A4" t="s">
        <v>38</v>
      </c>
      <c r="B4" s="226"/>
      <c r="C4" s="5" t="s">
        <v>123</v>
      </c>
      <c r="D4" s="5" t="s">
        <v>123</v>
      </c>
      <c r="E4" s="5" t="s">
        <v>123</v>
      </c>
      <c r="F4" s="5" t="s">
        <v>123</v>
      </c>
      <c r="G4" s="5" t="s">
        <v>123</v>
      </c>
      <c r="H4" s="5" t="s">
        <v>123</v>
      </c>
      <c r="I4" s="5" t="s">
        <v>123</v>
      </c>
      <c r="J4" s="5" t="s">
        <v>123</v>
      </c>
      <c r="K4" s="5" t="s">
        <v>123</v>
      </c>
      <c r="L4" s="5" t="s">
        <v>123</v>
      </c>
      <c r="M4" s="5" t="s">
        <v>123</v>
      </c>
      <c r="N4" s="5" t="s">
        <v>123</v>
      </c>
      <c r="O4" s="5" t="s">
        <v>123</v>
      </c>
      <c r="P4" s="5" t="s">
        <v>123</v>
      </c>
      <c r="Q4" s="5" t="s">
        <v>123</v>
      </c>
      <c r="R4" s="5" t="s">
        <v>123</v>
      </c>
    </row>
    <row r="5" spans="1:18">
      <c r="A5" t="s">
        <v>39</v>
      </c>
      <c r="B5" s="226"/>
      <c r="C5" s="5" t="s">
        <v>124</v>
      </c>
      <c r="D5" s="5" t="s">
        <v>124</v>
      </c>
      <c r="E5" s="5" t="s">
        <v>124</v>
      </c>
      <c r="F5" s="5" t="s">
        <v>124</v>
      </c>
      <c r="G5" s="5" t="s">
        <v>124</v>
      </c>
      <c r="H5" s="5" t="s">
        <v>124</v>
      </c>
      <c r="I5" s="5" t="s">
        <v>124</v>
      </c>
      <c r="J5" s="5" t="s">
        <v>124</v>
      </c>
      <c r="K5" s="5" t="s">
        <v>124</v>
      </c>
      <c r="L5" s="5" t="s">
        <v>124</v>
      </c>
      <c r="M5" s="5" t="s">
        <v>124</v>
      </c>
      <c r="N5" s="5" t="s">
        <v>124</v>
      </c>
      <c r="O5" s="5" t="s">
        <v>124</v>
      </c>
      <c r="P5" s="5" t="s">
        <v>124</v>
      </c>
      <c r="Q5" s="5" t="s">
        <v>124</v>
      </c>
      <c r="R5" s="5" t="s">
        <v>124</v>
      </c>
    </row>
    <row r="6" spans="1:18">
      <c r="A6" t="s">
        <v>40</v>
      </c>
      <c r="B6" s="226"/>
      <c r="C6" s="5" t="s">
        <v>125</v>
      </c>
      <c r="D6" s="5" t="s">
        <v>125</v>
      </c>
      <c r="E6" s="5" t="s">
        <v>125</v>
      </c>
      <c r="F6" s="5" t="s">
        <v>125</v>
      </c>
      <c r="G6" s="5" t="s">
        <v>125</v>
      </c>
      <c r="H6" s="5" t="s">
        <v>125</v>
      </c>
      <c r="I6" s="5" t="s">
        <v>125</v>
      </c>
      <c r="J6" s="5" t="s">
        <v>125</v>
      </c>
      <c r="K6" s="5" t="s">
        <v>125</v>
      </c>
      <c r="L6" s="5" t="s">
        <v>125</v>
      </c>
      <c r="M6" s="5" t="s">
        <v>125</v>
      </c>
      <c r="N6" s="5" t="s">
        <v>125</v>
      </c>
      <c r="O6" s="5" t="s">
        <v>125</v>
      </c>
      <c r="P6" s="5" t="s">
        <v>125</v>
      </c>
      <c r="Q6" s="5" t="s">
        <v>125</v>
      </c>
      <c r="R6" s="5" t="s">
        <v>125</v>
      </c>
    </row>
    <row r="7" spans="1:18">
      <c r="A7" t="s">
        <v>41</v>
      </c>
      <c r="B7" s="226"/>
      <c r="C7" s="5" t="s">
        <v>99</v>
      </c>
      <c r="D7" s="5" t="s">
        <v>99</v>
      </c>
      <c r="E7" s="5" t="s">
        <v>99</v>
      </c>
      <c r="F7" s="5" t="s">
        <v>99</v>
      </c>
      <c r="G7" s="5" t="s">
        <v>99</v>
      </c>
      <c r="H7" s="5" t="s">
        <v>99</v>
      </c>
      <c r="I7" s="5" t="s">
        <v>99</v>
      </c>
      <c r="J7" s="5" t="s">
        <v>99</v>
      </c>
      <c r="K7" s="5" t="s">
        <v>99</v>
      </c>
      <c r="L7" s="5" t="s">
        <v>99</v>
      </c>
      <c r="M7" s="5" t="s">
        <v>99</v>
      </c>
      <c r="N7" s="5" t="s">
        <v>99</v>
      </c>
      <c r="O7" s="5" t="s">
        <v>99</v>
      </c>
      <c r="P7" s="5" t="s">
        <v>99</v>
      </c>
      <c r="Q7" s="5" t="s">
        <v>99</v>
      </c>
      <c r="R7" s="5" t="s">
        <v>99</v>
      </c>
    </row>
    <row r="8" spans="1:18">
      <c r="A8" t="s">
        <v>43</v>
      </c>
      <c r="B8" s="226"/>
      <c r="C8" s="5" t="s">
        <v>126</v>
      </c>
      <c r="D8" s="5" t="s">
        <v>126</v>
      </c>
      <c r="E8" s="5" t="s">
        <v>126</v>
      </c>
      <c r="F8" s="5" t="s">
        <v>126</v>
      </c>
      <c r="G8" s="5" t="s">
        <v>126</v>
      </c>
      <c r="H8" s="5" t="s">
        <v>126</v>
      </c>
      <c r="I8" s="5" t="s">
        <v>126</v>
      </c>
      <c r="J8" s="5" t="s">
        <v>126</v>
      </c>
      <c r="K8" s="5" t="s">
        <v>126</v>
      </c>
      <c r="L8" s="5" t="s">
        <v>126</v>
      </c>
      <c r="M8" s="5" t="s">
        <v>126</v>
      </c>
      <c r="N8" s="5" t="s">
        <v>126</v>
      </c>
      <c r="O8" s="5" t="s">
        <v>126</v>
      </c>
      <c r="P8" s="5" t="s">
        <v>126</v>
      </c>
      <c r="Q8" s="5" t="s">
        <v>126</v>
      </c>
      <c r="R8" s="5" t="s">
        <v>126</v>
      </c>
    </row>
    <row r="9" spans="1:18">
      <c r="A9" t="s">
        <v>44</v>
      </c>
      <c r="B9" s="226"/>
      <c r="C9" s="5" t="s">
        <v>127</v>
      </c>
      <c r="D9" s="5" t="s">
        <v>127</v>
      </c>
      <c r="E9" s="5" t="s">
        <v>127</v>
      </c>
      <c r="F9" s="5" t="s">
        <v>127</v>
      </c>
      <c r="G9" s="5" t="s">
        <v>127</v>
      </c>
      <c r="H9" s="5" t="s">
        <v>127</v>
      </c>
      <c r="I9" s="5" t="s">
        <v>127</v>
      </c>
      <c r="J9" s="5" t="s">
        <v>127</v>
      </c>
      <c r="K9" s="5" t="s">
        <v>127</v>
      </c>
      <c r="L9" s="5" t="s">
        <v>127</v>
      </c>
      <c r="M9" s="5" t="s">
        <v>127</v>
      </c>
      <c r="N9" s="5" t="s">
        <v>127</v>
      </c>
      <c r="O9" s="5" t="s">
        <v>127</v>
      </c>
      <c r="P9" s="5" t="s">
        <v>127</v>
      </c>
      <c r="Q9" s="5" t="s">
        <v>127</v>
      </c>
      <c r="R9" s="5" t="s">
        <v>127</v>
      </c>
    </row>
    <row r="10" spans="1:18">
      <c r="A10" t="s">
        <v>45</v>
      </c>
      <c r="B10" s="227"/>
      <c r="C10" s="5" t="s">
        <v>121</v>
      </c>
      <c r="D10" s="5" t="s">
        <v>121</v>
      </c>
      <c r="E10" s="5" t="s">
        <v>121</v>
      </c>
      <c r="F10" s="5" t="s">
        <v>121</v>
      </c>
      <c r="G10" s="5" t="s">
        <v>121</v>
      </c>
      <c r="H10" s="5" t="s">
        <v>121</v>
      </c>
      <c r="I10" s="5" t="s">
        <v>121</v>
      </c>
      <c r="J10" s="5" t="s">
        <v>121</v>
      </c>
      <c r="K10" s="5" t="s">
        <v>121</v>
      </c>
      <c r="L10" s="5" t="s">
        <v>121</v>
      </c>
      <c r="M10" s="5" t="s">
        <v>121</v>
      </c>
      <c r="N10" s="5" t="s">
        <v>121</v>
      </c>
      <c r="O10" s="5" t="s">
        <v>121</v>
      </c>
      <c r="P10" s="5" t="s">
        <v>121</v>
      </c>
      <c r="Q10" s="5" t="s">
        <v>121</v>
      </c>
      <c r="R10" s="5" t="s">
        <v>121</v>
      </c>
    </row>
    <row r="11" spans="1:18">
      <c r="A11" t="s">
        <v>46</v>
      </c>
      <c r="B11" s="15"/>
    </row>
    <row r="12" spans="1:18">
      <c r="A12" t="s">
        <v>47</v>
      </c>
      <c r="B12" s="13" t="s">
        <v>88</v>
      </c>
    </row>
    <row r="13" spans="1:18">
      <c r="A13" t="s">
        <v>48</v>
      </c>
      <c r="B13" t="s">
        <v>94</v>
      </c>
    </row>
    <row r="14" spans="1:18">
      <c r="A14" t="s">
        <v>49</v>
      </c>
      <c r="B14" t="s">
        <v>89</v>
      </c>
    </row>
    <row r="15" spans="1:18">
      <c r="A15" t="s">
        <v>50</v>
      </c>
      <c r="B15" t="s">
        <v>90</v>
      </c>
    </row>
    <row r="16" spans="1:18">
      <c r="A16" t="s">
        <v>51</v>
      </c>
      <c r="B16" t="s">
        <v>95</v>
      </c>
    </row>
    <row r="17" spans="1:21">
      <c r="A17" t="s">
        <v>52</v>
      </c>
      <c r="B17" t="s">
        <v>91</v>
      </c>
    </row>
    <row r="18" spans="1:21">
      <c r="A18" t="s">
        <v>53</v>
      </c>
      <c r="B18" t="s">
        <v>92</v>
      </c>
    </row>
    <row r="19" spans="1:21">
      <c r="A19" t="s">
        <v>54</v>
      </c>
      <c r="B19" t="s">
        <v>93</v>
      </c>
    </row>
    <row r="20" spans="1:21">
      <c r="A20" t="s">
        <v>55</v>
      </c>
      <c r="B20" t="s">
        <v>87</v>
      </c>
    </row>
    <row r="21" spans="1:21">
      <c r="A21" t="s">
        <v>56</v>
      </c>
    </row>
    <row r="22" spans="1:21">
      <c r="A22" t="s">
        <v>57</v>
      </c>
      <c r="B22" t="s">
        <v>96</v>
      </c>
    </row>
    <row r="23" spans="1:21">
      <c r="A23" t="s">
        <v>58</v>
      </c>
      <c r="B23" s="14" t="s">
        <v>70</v>
      </c>
      <c r="C23" s="14" t="s">
        <v>72</v>
      </c>
      <c r="D23" s="14" t="s">
        <v>73</v>
      </c>
      <c r="E23" s="14" t="s">
        <v>74</v>
      </c>
      <c r="F23" s="14" t="s">
        <v>75</v>
      </c>
      <c r="G23" s="14" t="s">
        <v>76</v>
      </c>
      <c r="H23" s="14" t="s">
        <v>77</v>
      </c>
      <c r="I23" s="14" t="s">
        <v>78</v>
      </c>
      <c r="J23" s="14" t="s">
        <v>79</v>
      </c>
      <c r="K23" s="14" t="s">
        <v>80</v>
      </c>
      <c r="L23" s="14" t="s">
        <v>81</v>
      </c>
      <c r="M23" s="14" t="s">
        <v>82</v>
      </c>
      <c r="N23" s="14" t="s">
        <v>83</v>
      </c>
      <c r="O23" s="14" t="s">
        <v>24</v>
      </c>
      <c r="P23" s="14" t="s">
        <v>84</v>
      </c>
      <c r="Q23" s="14" t="s">
        <v>85</v>
      </c>
      <c r="R23" s="14" t="s">
        <v>86</v>
      </c>
      <c r="S23" s="14" t="s">
        <v>17</v>
      </c>
      <c r="T23" s="14" t="s">
        <v>97</v>
      </c>
      <c r="U23" s="14" t="s">
        <v>98</v>
      </c>
    </row>
    <row r="24" spans="1:21">
      <c r="A24" t="s">
        <v>59</v>
      </c>
      <c r="B24" s="225" t="s">
        <v>100</v>
      </c>
      <c r="C24" s="5" t="s">
        <v>122</v>
      </c>
      <c r="D24" s="5" t="s">
        <v>122</v>
      </c>
      <c r="E24" s="5" t="s">
        <v>122</v>
      </c>
      <c r="F24" s="5" t="s">
        <v>122</v>
      </c>
      <c r="G24" s="5" t="s">
        <v>122</v>
      </c>
      <c r="H24" s="5" t="s">
        <v>122</v>
      </c>
      <c r="I24" s="5" t="s">
        <v>122</v>
      </c>
      <c r="J24" s="5" t="s">
        <v>122</v>
      </c>
      <c r="K24" s="5" t="s">
        <v>122</v>
      </c>
      <c r="L24" s="5" t="s">
        <v>122</v>
      </c>
      <c r="M24" s="5" t="s">
        <v>122</v>
      </c>
      <c r="N24" s="5" t="s">
        <v>122</v>
      </c>
      <c r="O24" s="5" t="s">
        <v>122</v>
      </c>
      <c r="P24" s="5" t="s">
        <v>122</v>
      </c>
      <c r="Q24" s="5" t="s">
        <v>122</v>
      </c>
      <c r="R24" s="5" t="s">
        <v>122</v>
      </c>
      <c r="S24" s="5" t="s">
        <v>122</v>
      </c>
      <c r="T24" s="5" t="s">
        <v>122</v>
      </c>
      <c r="U24" s="5" t="s">
        <v>122</v>
      </c>
    </row>
    <row r="25" spans="1:21">
      <c r="A25" t="s">
        <v>60</v>
      </c>
      <c r="B25" s="226"/>
      <c r="C25" s="5" t="s">
        <v>123</v>
      </c>
      <c r="D25" s="5" t="s">
        <v>123</v>
      </c>
      <c r="E25" s="5" t="s">
        <v>123</v>
      </c>
      <c r="F25" s="5" t="s">
        <v>123</v>
      </c>
      <c r="G25" s="5" t="s">
        <v>123</v>
      </c>
      <c r="H25" s="5" t="s">
        <v>123</v>
      </c>
      <c r="I25" s="5" t="s">
        <v>123</v>
      </c>
      <c r="J25" s="5" t="s">
        <v>123</v>
      </c>
      <c r="K25" s="5" t="s">
        <v>123</v>
      </c>
      <c r="L25" s="5" t="s">
        <v>123</v>
      </c>
      <c r="M25" s="5" t="s">
        <v>123</v>
      </c>
      <c r="N25" s="5" t="s">
        <v>123</v>
      </c>
      <c r="O25" s="5" t="s">
        <v>123</v>
      </c>
      <c r="P25" s="5" t="s">
        <v>123</v>
      </c>
      <c r="Q25" s="5" t="s">
        <v>123</v>
      </c>
      <c r="R25" s="5" t="s">
        <v>123</v>
      </c>
      <c r="S25" s="5" t="s">
        <v>123</v>
      </c>
      <c r="T25" s="5" t="s">
        <v>123</v>
      </c>
      <c r="U25" s="5" t="s">
        <v>123</v>
      </c>
    </row>
    <row r="26" spans="1:21">
      <c r="A26" t="s">
        <v>61</v>
      </c>
      <c r="B26" s="226"/>
      <c r="C26" s="5" t="s">
        <v>124</v>
      </c>
      <c r="D26" s="5" t="s">
        <v>124</v>
      </c>
      <c r="E26" s="5" t="s">
        <v>124</v>
      </c>
      <c r="F26" s="5" t="s">
        <v>124</v>
      </c>
      <c r="G26" s="5" t="s">
        <v>124</v>
      </c>
      <c r="H26" s="5" t="s">
        <v>124</v>
      </c>
      <c r="I26" s="5" t="s">
        <v>124</v>
      </c>
      <c r="J26" s="5" t="s">
        <v>124</v>
      </c>
      <c r="K26" s="5" t="s">
        <v>124</v>
      </c>
      <c r="L26" s="5" t="s">
        <v>124</v>
      </c>
      <c r="M26" s="5" t="s">
        <v>124</v>
      </c>
      <c r="N26" s="5" t="s">
        <v>124</v>
      </c>
      <c r="O26" s="5" t="s">
        <v>124</v>
      </c>
      <c r="P26" s="5" t="s">
        <v>124</v>
      </c>
      <c r="Q26" s="5" t="s">
        <v>124</v>
      </c>
      <c r="R26" s="5" t="s">
        <v>124</v>
      </c>
      <c r="S26" s="5" t="s">
        <v>124</v>
      </c>
      <c r="T26" s="5" t="s">
        <v>124</v>
      </c>
      <c r="U26" s="5" t="s">
        <v>124</v>
      </c>
    </row>
    <row r="27" spans="1:21">
      <c r="A27" t="s">
        <v>62</v>
      </c>
      <c r="B27" s="226"/>
      <c r="C27" s="5" t="s">
        <v>125</v>
      </c>
      <c r="D27" s="5" t="s">
        <v>125</v>
      </c>
      <c r="E27" s="5" t="s">
        <v>125</v>
      </c>
      <c r="F27" s="5" t="s">
        <v>125</v>
      </c>
      <c r="G27" s="5" t="s">
        <v>125</v>
      </c>
      <c r="H27" s="5" t="s">
        <v>125</v>
      </c>
      <c r="I27" s="5" t="s">
        <v>125</v>
      </c>
      <c r="J27" s="5" t="s">
        <v>125</v>
      </c>
      <c r="K27" s="5" t="s">
        <v>125</v>
      </c>
      <c r="L27" s="5" t="s">
        <v>125</v>
      </c>
      <c r="M27" s="5" t="s">
        <v>125</v>
      </c>
      <c r="N27" s="5" t="s">
        <v>125</v>
      </c>
      <c r="O27" s="5" t="s">
        <v>125</v>
      </c>
      <c r="P27" s="5" t="s">
        <v>125</v>
      </c>
      <c r="Q27" s="5" t="s">
        <v>125</v>
      </c>
      <c r="R27" s="5" t="s">
        <v>125</v>
      </c>
      <c r="S27" s="5" t="s">
        <v>125</v>
      </c>
      <c r="T27" s="5" t="s">
        <v>125</v>
      </c>
      <c r="U27" s="5" t="s">
        <v>125</v>
      </c>
    </row>
    <row r="28" spans="1:21">
      <c r="A28" t="s">
        <v>63</v>
      </c>
      <c r="B28" s="226"/>
      <c r="C28" s="5" t="s">
        <v>99</v>
      </c>
      <c r="D28" s="5" t="s">
        <v>99</v>
      </c>
      <c r="E28" s="5" t="s">
        <v>99</v>
      </c>
      <c r="F28" s="5" t="s">
        <v>99</v>
      </c>
      <c r="G28" s="5" t="s">
        <v>99</v>
      </c>
      <c r="H28" s="5" t="s">
        <v>99</v>
      </c>
      <c r="I28" s="5" t="s">
        <v>99</v>
      </c>
      <c r="J28" s="5" t="s">
        <v>99</v>
      </c>
      <c r="K28" s="5" t="s">
        <v>99</v>
      </c>
      <c r="L28" s="5" t="s">
        <v>99</v>
      </c>
      <c r="M28" s="5" t="s">
        <v>99</v>
      </c>
      <c r="N28" s="5" t="s">
        <v>99</v>
      </c>
      <c r="O28" s="5" t="s">
        <v>99</v>
      </c>
      <c r="P28" s="5" t="s">
        <v>99</v>
      </c>
      <c r="Q28" s="5" t="s">
        <v>99</v>
      </c>
      <c r="R28" s="5" t="s">
        <v>99</v>
      </c>
      <c r="S28" s="5" t="s">
        <v>99</v>
      </c>
      <c r="T28" s="5" t="s">
        <v>99</v>
      </c>
      <c r="U28" s="5" t="s">
        <v>99</v>
      </c>
    </row>
    <row r="29" spans="1:21">
      <c r="A29" t="s">
        <v>64</v>
      </c>
      <c r="B29" s="226"/>
      <c r="C29" s="5" t="s">
        <v>126</v>
      </c>
      <c r="D29" s="5" t="s">
        <v>126</v>
      </c>
      <c r="E29" s="5" t="s">
        <v>126</v>
      </c>
      <c r="F29" s="5" t="s">
        <v>126</v>
      </c>
      <c r="G29" s="5" t="s">
        <v>126</v>
      </c>
      <c r="H29" s="5" t="s">
        <v>126</v>
      </c>
      <c r="I29" s="5" t="s">
        <v>126</v>
      </c>
      <c r="J29" s="5" t="s">
        <v>126</v>
      </c>
      <c r="K29" s="5" t="s">
        <v>126</v>
      </c>
      <c r="L29" s="5" t="s">
        <v>126</v>
      </c>
      <c r="M29" s="5" t="s">
        <v>126</v>
      </c>
      <c r="N29" s="5" t="s">
        <v>126</v>
      </c>
      <c r="O29" s="5" t="s">
        <v>126</v>
      </c>
      <c r="P29" s="5" t="s">
        <v>126</v>
      </c>
      <c r="Q29" s="5" t="s">
        <v>126</v>
      </c>
      <c r="R29" s="5" t="s">
        <v>126</v>
      </c>
      <c r="S29" s="5" t="s">
        <v>126</v>
      </c>
      <c r="T29" s="5" t="s">
        <v>126</v>
      </c>
      <c r="U29" s="5" t="s">
        <v>126</v>
      </c>
    </row>
    <row r="30" spans="1:21">
      <c r="A30" t="s">
        <v>65</v>
      </c>
      <c r="B30" s="226"/>
      <c r="C30" s="5" t="s">
        <v>127</v>
      </c>
      <c r="D30" s="5" t="s">
        <v>127</v>
      </c>
      <c r="E30" s="5" t="s">
        <v>127</v>
      </c>
      <c r="F30" s="5" t="s">
        <v>127</v>
      </c>
      <c r="G30" s="5" t="s">
        <v>127</v>
      </c>
      <c r="H30" s="5" t="s">
        <v>127</v>
      </c>
      <c r="I30" s="5" t="s">
        <v>127</v>
      </c>
      <c r="J30" s="5" t="s">
        <v>127</v>
      </c>
      <c r="K30" s="5" t="s">
        <v>127</v>
      </c>
      <c r="L30" s="5" t="s">
        <v>127</v>
      </c>
      <c r="M30" s="5" t="s">
        <v>127</v>
      </c>
      <c r="N30" s="5" t="s">
        <v>127</v>
      </c>
      <c r="O30" s="5" t="s">
        <v>127</v>
      </c>
      <c r="P30" s="5" t="s">
        <v>127</v>
      </c>
      <c r="Q30" s="5" t="s">
        <v>127</v>
      </c>
      <c r="R30" s="5" t="s">
        <v>127</v>
      </c>
      <c r="S30" s="5" t="s">
        <v>127</v>
      </c>
      <c r="T30" s="5" t="s">
        <v>127</v>
      </c>
      <c r="U30" s="5" t="s">
        <v>127</v>
      </c>
    </row>
    <row r="31" spans="1:21">
      <c r="A31" t="s">
        <v>66</v>
      </c>
      <c r="B31" s="227"/>
      <c r="C31" s="5" t="s">
        <v>121</v>
      </c>
      <c r="D31" s="5" t="s">
        <v>121</v>
      </c>
      <c r="E31" s="5" t="s">
        <v>121</v>
      </c>
      <c r="F31" s="5" t="s">
        <v>121</v>
      </c>
      <c r="G31" s="5" t="s">
        <v>121</v>
      </c>
      <c r="H31" s="5" t="s">
        <v>121</v>
      </c>
      <c r="I31" s="5" t="s">
        <v>121</v>
      </c>
      <c r="J31" s="5" t="s">
        <v>121</v>
      </c>
      <c r="K31" s="5" t="s">
        <v>121</v>
      </c>
      <c r="L31" s="5" t="s">
        <v>121</v>
      </c>
      <c r="M31" s="5" t="s">
        <v>121</v>
      </c>
      <c r="N31" s="5" t="s">
        <v>121</v>
      </c>
      <c r="O31" s="5" t="s">
        <v>121</v>
      </c>
      <c r="P31" s="5" t="s">
        <v>121</v>
      </c>
      <c r="Q31" s="5" t="s">
        <v>121</v>
      </c>
      <c r="R31" s="5" t="s">
        <v>121</v>
      </c>
      <c r="S31" s="5" t="s">
        <v>87</v>
      </c>
      <c r="T31" s="5" t="s">
        <v>121</v>
      </c>
      <c r="U31" s="5" t="s">
        <v>121</v>
      </c>
    </row>
    <row r="32" spans="1:21">
      <c r="A32" t="s">
        <v>67</v>
      </c>
    </row>
    <row r="33" spans="1:2">
      <c r="A33" t="s">
        <v>68</v>
      </c>
      <c r="B33" t="s">
        <v>128</v>
      </c>
    </row>
    <row r="34" spans="1:2">
      <c r="A34" t="s">
        <v>101</v>
      </c>
    </row>
    <row r="35" spans="1:2">
      <c r="A35" t="s">
        <v>102</v>
      </c>
    </row>
    <row r="36" spans="1:2">
      <c r="A36" t="s">
        <v>103</v>
      </c>
    </row>
    <row r="37" spans="1:2">
      <c r="A37" t="s">
        <v>104</v>
      </c>
    </row>
    <row r="38" spans="1:2">
      <c r="A38" t="s">
        <v>105</v>
      </c>
    </row>
    <row r="39" spans="1:2">
      <c r="A39" t="s">
        <v>107</v>
      </c>
    </row>
    <row r="40" spans="1:2">
      <c r="A40" t="s">
        <v>106</v>
      </c>
    </row>
    <row r="41" spans="1:2">
      <c r="A41" t="s">
        <v>108</v>
      </c>
    </row>
    <row r="42" spans="1:2">
      <c r="A42" t="s">
        <v>109</v>
      </c>
    </row>
    <row r="43" spans="1:2">
      <c r="A43" t="s">
        <v>110</v>
      </c>
    </row>
    <row r="44" spans="1:2">
      <c r="A44" t="s">
        <v>111</v>
      </c>
    </row>
    <row r="45" spans="1:2">
      <c r="A45" t="s">
        <v>112</v>
      </c>
    </row>
    <row r="46" spans="1:2">
      <c r="A46" t="s">
        <v>113</v>
      </c>
    </row>
    <row r="47" spans="1:2">
      <c r="A47" t="s">
        <v>114</v>
      </c>
    </row>
    <row r="48" spans="1:2">
      <c r="A48" t="s">
        <v>115</v>
      </c>
    </row>
    <row r="49" spans="1:1">
      <c r="A49" t="s">
        <v>116</v>
      </c>
    </row>
    <row r="50" spans="1:1">
      <c r="A50" t="s">
        <v>117</v>
      </c>
    </row>
    <row r="51" spans="1:1">
      <c r="A51" t="s">
        <v>118</v>
      </c>
    </row>
    <row r="52" spans="1:1">
      <c r="A52" t="s">
        <v>119</v>
      </c>
    </row>
    <row r="53" spans="1:1">
      <c r="A53" t="s">
        <v>120</v>
      </c>
    </row>
  </sheetData>
  <mergeCells count="2">
    <mergeCell ref="B3:B10"/>
    <mergeCell ref="B24:B31"/>
  </mergeCells>
  <phoneticPr fontId="1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C8F2-6BAB-4FF6-9FC3-199B3D1325F7}">
  <sheetPr codeName="Sheet3"/>
  <dimension ref="A1:T29"/>
  <sheetViews>
    <sheetView view="pageBreakPreview" zoomScale="70" zoomScaleNormal="70" zoomScaleSheetLayoutView="70" workbookViewId="0">
      <selection activeCell="C9" sqref="C9"/>
    </sheetView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6.08203125" style="9" customWidth="1"/>
    <col min="6" max="6" width="6.83203125" style="9" bestFit="1" customWidth="1"/>
    <col min="7" max="9" width="13.58203125" style="9" customWidth="1"/>
    <col min="10" max="11" width="8.58203125" style="9" bestFit="1" customWidth="1"/>
    <col min="12" max="12" width="13" style="9" customWidth="1"/>
    <col min="13" max="13" width="21.4140625" style="9" customWidth="1"/>
    <col min="14" max="14" width="6.83203125" style="9" bestFit="1" customWidth="1"/>
    <col min="15" max="17" width="13.58203125" style="9" customWidth="1"/>
    <col min="18" max="18" width="14.33203125" style="9" customWidth="1"/>
    <col min="19" max="19" width="59.6640625" style="9" customWidth="1"/>
    <col min="20" max="20" width="5.6640625" style="9" customWidth="1"/>
    <col min="21" max="16384" width="8.83203125" style="9"/>
  </cols>
  <sheetData>
    <row r="1" spans="1:20">
      <c r="A1" s="9" t="s">
        <v>3</v>
      </c>
      <c r="N1" s="12"/>
      <c r="O1" s="12" t="s">
        <v>30</v>
      </c>
      <c r="P1" s="176"/>
      <c r="Q1" s="176"/>
      <c r="R1" s="176"/>
    </row>
    <row r="2" spans="1:20">
      <c r="A2" s="9" t="s">
        <v>2</v>
      </c>
      <c r="N2" s="12"/>
      <c r="O2" s="12" t="s">
        <v>31</v>
      </c>
      <c r="P2" s="175"/>
      <c r="Q2" s="175"/>
      <c r="R2" s="175"/>
    </row>
    <row r="3" spans="1:20">
      <c r="N3" s="12"/>
      <c r="O3" s="12" t="s">
        <v>32</v>
      </c>
      <c r="P3" s="175"/>
      <c r="Q3" s="175"/>
      <c r="R3" s="175"/>
    </row>
    <row r="4" spans="1:20">
      <c r="A4" s="10" t="s">
        <v>5</v>
      </c>
      <c r="B4" s="10" t="s">
        <v>6</v>
      </c>
      <c r="C4" s="10"/>
      <c r="D4" s="11"/>
      <c r="N4" s="12"/>
      <c r="O4" s="12" t="s">
        <v>33</v>
      </c>
      <c r="P4" s="174"/>
      <c r="Q4" s="174"/>
      <c r="R4" s="174"/>
    </row>
    <row r="5" spans="1:20">
      <c r="N5" s="12"/>
      <c r="O5" s="12" t="s">
        <v>34</v>
      </c>
      <c r="P5" s="175"/>
      <c r="Q5" s="175"/>
      <c r="R5" s="175"/>
    </row>
    <row r="6" spans="1:20" ht="40" customHeight="1">
      <c r="B6" s="83" t="s">
        <v>206</v>
      </c>
      <c r="D6" s="109" t="str">
        <f>IF(COUNTIF(D9:D23,"無")&gt;0,"TAISに掲載されていない機器を導入する場合、別紙１－４を提出。","")</f>
        <v/>
      </c>
      <c r="G6" s="43" t="s">
        <v>144</v>
      </c>
      <c r="H6" s="43" t="s">
        <v>145</v>
      </c>
      <c r="I6" s="43" t="s">
        <v>146</v>
      </c>
      <c r="J6" s="43"/>
      <c r="K6" s="43" t="s">
        <v>147</v>
      </c>
      <c r="L6" s="43" t="s">
        <v>148</v>
      </c>
      <c r="M6" s="43" t="s">
        <v>149</v>
      </c>
      <c r="N6" s="43"/>
      <c r="O6" s="43" t="s">
        <v>150</v>
      </c>
      <c r="P6" s="43" t="s">
        <v>165</v>
      </c>
      <c r="Q6" s="43" t="s">
        <v>152</v>
      </c>
      <c r="R6" s="49" t="s">
        <v>162</v>
      </c>
    </row>
    <row r="7" spans="1:20" s="4" customFormat="1" ht="54" customHeight="1">
      <c r="A7" s="92"/>
      <c r="B7" s="92" t="s">
        <v>4</v>
      </c>
      <c r="C7" s="92" t="s">
        <v>0</v>
      </c>
      <c r="D7" s="92" t="s">
        <v>132</v>
      </c>
      <c r="E7" s="92" t="s">
        <v>28</v>
      </c>
      <c r="F7" s="92" t="s">
        <v>15</v>
      </c>
      <c r="G7" s="92" t="s">
        <v>143</v>
      </c>
      <c r="H7" s="92" t="s">
        <v>130</v>
      </c>
      <c r="I7" s="92" t="s">
        <v>131</v>
      </c>
      <c r="J7" s="92" t="s">
        <v>13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95" customFormat="1" ht="18" customHeight="1">
      <c r="A8" s="96"/>
      <c r="B8" s="96"/>
      <c r="C8" s="96"/>
      <c r="D8" s="96"/>
      <c r="E8" s="96"/>
      <c r="F8" s="97" t="s">
        <v>210</v>
      </c>
      <c r="G8" s="97" t="s">
        <v>211</v>
      </c>
      <c r="H8" s="97" t="s">
        <v>211</v>
      </c>
      <c r="I8" s="97" t="s">
        <v>211</v>
      </c>
      <c r="J8" s="97" t="s">
        <v>212</v>
      </c>
      <c r="K8" s="97" t="s">
        <v>212</v>
      </c>
      <c r="L8" s="97" t="s">
        <v>211</v>
      </c>
      <c r="M8" s="97" t="s">
        <v>211</v>
      </c>
      <c r="N8" s="97"/>
      <c r="O8" s="97" t="s">
        <v>211</v>
      </c>
      <c r="P8" s="97" t="s">
        <v>211</v>
      </c>
      <c r="Q8" s="97" t="s">
        <v>211</v>
      </c>
      <c r="R8" s="97" t="s">
        <v>211</v>
      </c>
    </row>
    <row r="9" spans="1:20" ht="38.25" customHeight="1">
      <c r="A9" s="163" t="s">
        <v>14</v>
      </c>
      <c r="B9" s="122"/>
      <c r="C9" s="123"/>
      <c r="D9" s="124"/>
      <c r="E9" s="125"/>
      <c r="F9" s="160"/>
      <c r="G9" s="164"/>
      <c r="H9" s="164"/>
      <c r="I9" s="157" t="str">
        <f>IF(G9="","",G9-H9)</f>
        <v/>
      </c>
      <c r="J9" s="154" t="str">
        <f>IF(F9="","",ROUNDUP(F9*0.2,0))</f>
        <v/>
      </c>
      <c r="K9" s="123"/>
      <c r="L9" s="123"/>
      <c r="M9" s="24" t="str">
        <f>IF(K9="","",IF($J$9&lt;K9,"台数上限を超えています",K9*L9))</f>
        <v/>
      </c>
      <c r="N9" s="171">
        <v>0.75</v>
      </c>
      <c r="O9" s="24" t="str">
        <f>IF(M9="","",IF($J$9&lt;$K9,"",M9*$N$9))</f>
        <v/>
      </c>
      <c r="P9" s="157" t="str">
        <f>IF(K9="","",IF($J$9&lt;K9,"",ROUNDDOWN(SUM(O9:O13),-3)))</f>
        <v/>
      </c>
      <c r="Q9" s="154" t="str">
        <f>IF(P9="","",IF($J$9&lt;K9,"",IF(B9="",0,IF(OR(B9=データリスト!$C$2,B9=データリスト!$D$2,B9=データリスト!$K$2),所要額調書①!K9*1000000,所要額調書①!K9*300000))))</f>
        <v/>
      </c>
      <c r="R9" s="154" t="str">
        <f>IF(Q9="","",IF($J$9&lt;K9,"",ROUNDDOWN(MIN(I9,P9,Q9),-3)))</f>
        <v/>
      </c>
      <c r="S9" s="9" t="str">
        <f>CONCATENATE(B9,E9)</f>
        <v/>
      </c>
      <c r="T9" s="9" t="str">
        <f t="shared" ref="T9:T14" si="0">IF(S9="","",COUNTIF($S$9:$S$23,S9))</f>
        <v/>
      </c>
    </row>
    <row r="10" spans="1:20" ht="38.25" customHeight="1">
      <c r="A10" s="163"/>
      <c r="B10" s="33" t="s">
        <v>133</v>
      </c>
      <c r="C10" s="126"/>
      <c r="D10" s="167"/>
      <c r="E10" s="167"/>
      <c r="F10" s="161"/>
      <c r="G10" s="165"/>
      <c r="H10" s="165"/>
      <c r="I10" s="158"/>
      <c r="J10" s="155"/>
      <c r="K10" s="126"/>
      <c r="L10" s="126"/>
      <c r="M10" s="31" t="str">
        <f>IF(K10="","",K10*L10)</f>
        <v/>
      </c>
      <c r="N10" s="172"/>
      <c r="O10" s="31" t="str">
        <f>IF(M10="","",IF($J$9&lt;$K$9,"",IF(L10*$N$9&gt;100000,100000*K10,M10*$N$9)))</f>
        <v/>
      </c>
      <c r="P10" s="158"/>
      <c r="Q10" s="155"/>
      <c r="R10" s="155"/>
    </row>
    <row r="11" spans="1:20" ht="38.25" customHeight="1">
      <c r="A11" s="163"/>
      <c r="B11" s="33" t="s">
        <v>134</v>
      </c>
      <c r="C11" s="126"/>
      <c r="D11" s="168"/>
      <c r="E11" s="168"/>
      <c r="F11" s="161"/>
      <c r="G11" s="165"/>
      <c r="H11" s="165"/>
      <c r="I11" s="158"/>
      <c r="J11" s="155"/>
      <c r="K11" s="126"/>
      <c r="L11" s="126"/>
      <c r="M11" s="31" t="str">
        <f t="shared" ref="M11:M12" si="1">IF(K11="","",K11*L11)</f>
        <v/>
      </c>
      <c r="N11" s="172"/>
      <c r="O11" s="31" t="str">
        <f t="shared" ref="O11:O12" si="2">IF(M11="","",IF($J$9&lt;$K$9,"",IF(L11*$N$9&gt;100000,100000*K11,M11*$N$9)))</f>
        <v/>
      </c>
      <c r="P11" s="158"/>
      <c r="Q11" s="155"/>
      <c r="R11" s="155"/>
    </row>
    <row r="12" spans="1:20" ht="38.25" customHeight="1">
      <c r="A12" s="163"/>
      <c r="B12" s="33" t="s">
        <v>135</v>
      </c>
      <c r="C12" s="126"/>
      <c r="D12" s="168"/>
      <c r="E12" s="168"/>
      <c r="F12" s="161"/>
      <c r="G12" s="165"/>
      <c r="H12" s="165"/>
      <c r="I12" s="158"/>
      <c r="J12" s="155"/>
      <c r="K12" s="126"/>
      <c r="L12" s="126"/>
      <c r="M12" s="31" t="str">
        <f t="shared" si="1"/>
        <v/>
      </c>
      <c r="N12" s="172"/>
      <c r="O12" s="31" t="str">
        <f t="shared" si="2"/>
        <v/>
      </c>
      <c r="P12" s="158"/>
      <c r="Q12" s="155"/>
      <c r="R12" s="155"/>
    </row>
    <row r="13" spans="1:20" ht="38.25" customHeight="1">
      <c r="A13" s="163"/>
      <c r="B13" s="32" t="s">
        <v>136</v>
      </c>
      <c r="C13" s="127"/>
      <c r="D13" s="169"/>
      <c r="E13" s="169"/>
      <c r="F13" s="161"/>
      <c r="G13" s="166"/>
      <c r="H13" s="166"/>
      <c r="I13" s="159"/>
      <c r="J13" s="155"/>
      <c r="K13" s="34"/>
      <c r="L13" s="127"/>
      <c r="M13" s="26" t="str">
        <f>IF(L13="","",L13)</f>
        <v/>
      </c>
      <c r="N13" s="172"/>
      <c r="O13" s="41" t="str">
        <f>IF(M13="","",IF($J$9&lt;$K$9,"",M13*$N$9))</f>
        <v/>
      </c>
      <c r="P13" s="159"/>
      <c r="Q13" s="156"/>
      <c r="R13" s="156"/>
    </row>
    <row r="14" spans="1:20" ht="38.25" customHeight="1">
      <c r="A14" s="163"/>
      <c r="B14" s="122"/>
      <c r="C14" s="123"/>
      <c r="D14" s="124"/>
      <c r="E14" s="125"/>
      <c r="F14" s="161"/>
      <c r="G14" s="164"/>
      <c r="H14" s="164"/>
      <c r="I14" s="157" t="str">
        <f t="shared" ref="I14" si="3">IF(G14="","",G14-H14)</f>
        <v/>
      </c>
      <c r="J14" s="155"/>
      <c r="K14" s="123"/>
      <c r="L14" s="123"/>
      <c r="M14" s="24" t="str">
        <f t="shared" ref="M14" si="4">IF(K14="","",IF($J$9&lt;K14,"台数上限を超えています",K14*L14))</f>
        <v/>
      </c>
      <c r="N14" s="172"/>
      <c r="O14" s="24" t="str">
        <f t="shared" ref="O14" si="5">IF(M14="","",IF($J$9&lt;$K14,"",M14*$N$9))</f>
        <v/>
      </c>
      <c r="P14" s="157" t="str">
        <f t="shared" ref="P14" si="6">IF(K14="","",IF($J$9&lt;K14,"",ROUNDDOWN(SUM(O14:O18),-3)))</f>
        <v/>
      </c>
      <c r="Q14" s="154" t="str">
        <f>IF(P14="","",IF($J$9&lt;K14,"",IF(B14="",0,IF(OR(B14=データリスト!$C$2,B14=データリスト!$D$2,B14=データリスト!$K$2),所要額調書①!K14*1000000,所要額調書①!K14*300000))))</f>
        <v/>
      </c>
      <c r="R14" s="154" t="str">
        <f t="shared" ref="R14" si="7">IF(Q14="","",IF($J$9&lt;K14,"",ROUNDDOWN(MIN(I14,P14,Q14),-3)))</f>
        <v/>
      </c>
      <c r="S14" s="9" t="str">
        <f>CONCATENATE(B14,E14)</f>
        <v/>
      </c>
      <c r="T14" s="9" t="str">
        <f t="shared" si="0"/>
        <v/>
      </c>
    </row>
    <row r="15" spans="1:20" ht="38.25" customHeight="1">
      <c r="A15" s="163"/>
      <c r="B15" s="33" t="s">
        <v>133</v>
      </c>
      <c r="C15" s="126"/>
      <c r="D15" s="167"/>
      <c r="E15" s="167"/>
      <c r="F15" s="161"/>
      <c r="G15" s="165"/>
      <c r="H15" s="165"/>
      <c r="I15" s="158"/>
      <c r="J15" s="155"/>
      <c r="K15" s="126"/>
      <c r="L15" s="126"/>
      <c r="M15" s="31" t="str">
        <f t="shared" ref="M15:M22" si="8">IF(K15="","",K15*L15)</f>
        <v/>
      </c>
      <c r="N15" s="172"/>
      <c r="O15" s="31" t="str">
        <f t="shared" ref="O15:O22" si="9">IF(M15="","",IF($J$9&lt;$K$9,"",IF(L15*$N$9&gt;100000,100000*K15,M15*$N$9)))</f>
        <v/>
      </c>
      <c r="P15" s="158"/>
      <c r="Q15" s="155"/>
      <c r="R15" s="155"/>
    </row>
    <row r="16" spans="1:20" ht="38.25" customHeight="1">
      <c r="A16" s="163"/>
      <c r="B16" s="33" t="s">
        <v>134</v>
      </c>
      <c r="C16" s="126"/>
      <c r="D16" s="168"/>
      <c r="E16" s="168"/>
      <c r="F16" s="161"/>
      <c r="G16" s="165"/>
      <c r="H16" s="165"/>
      <c r="I16" s="158"/>
      <c r="J16" s="155"/>
      <c r="K16" s="126"/>
      <c r="L16" s="126"/>
      <c r="M16" s="31" t="str">
        <f t="shared" si="8"/>
        <v/>
      </c>
      <c r="N16" s="172"/>
      <c r="O16" s="31" t="str">
        <f t="shared" si="9"/>
        <v/>
      </c>
      <c r="P16" s="158"/>
      <c r="Q16" s="155"/>
      <c r="R16" s="155"/>
    </row>
    <row r="17" spans="1:20" ht="38.25" customHeight="1">
      <c r="A17" s="163"/>
      <c r="B17" s="33" t="s">
        <v>135</v>
      </c>
      <c r="C17" s="126"/>
      <c r="D17" s="168"/>
      <c r="E17" s="168"/>
      <c r="F17" s="161"/>
      <c r="G17" s="165"/>
      <c r="H17" s="165"/>
      <c r="I17" s="158"/>
      <c r="J17" s="155"/>
      <c r="K17" s="126"/>
      <c r="L17" s="126"/>
      <c r="M17" s="31" t="str">
        <f t="shared" si="8"/>
        <v/>
      </c>
      <c r="N17" s="172"/>
      <c r="O17" s="31" t="str">
        <f t="shared" si="9"/>
        <v/>
      </c>
      <c r="P17" s="158"/>
      <c r="Q17" s="155"/>
      <c r="R17" s="155"/>
    </row>
    <row r="18" spans="1:20" ht="38.25" customHeight="1">
      <c r="A18" s="163"/>
      <c r="B18" s="32" t="s">
        <v>136</v>
      </c>
      <c r="C18" s="127"/>
      <c r="D18" s="169"/>
      <c r="E18" s="169"/>
      <c r="F18" s="161"/>
      <c r="G18" s="166"/>
      <c r="H18" s="166"/>
      <c r="I18" s="159"/>
      <c r="J18" s="155"/>
      <c r="K18" s="34"/>
      <c r="L18" s="127"/>
      <c r="M18" s="41" t="str">
        <f t="shared" ref="M18" si="10">IF(L18="","",L18)</f>
        <v/>
      </c>
      <c r="N18" s="172"/>
      <c r="O18" s="41" t="str">
        <f t="shared" ref="O18" si="11">IF(M18="","",IF($J$9&lt;$K$9,"",M18*$N$9))</f>
        <v/>
      </c>
      <c r="P18" s="159"/>
      <c r="Q18" s="156"/>
      <c r="R18" s="156"/>
    </row>
    <row r="19" spans="1:20" ht="38.25" customHeight="1">
      <c r="A19" s="163"/>
      <c r="B19" s="122"/>
      <c r="C19" s="123"/>
      <c r="D19" s="124"/>
      <c r="E19" s="125"/>
      <c r="F19" s="161"/>
      <c r="G19" s="164"/>
      <c r="H19" s="164"/>
      <c r="I19" s="157" t="str">
        <f t="shared" ref="I19" si="12">IF(G19="","",G19-H19)</f>
        <v/>
      </c>
      <c r="J19" s="155"/>
      <c r="K19" s="123"/>
      <c r="L19" s="123"/>
      <c r="M19" s="24" t="str">
        <f t="shared" ref="M19" si="13">IF(K19="","",IF($J$9&lt;K19,"台数上限を超えています",K19*L19))</f>
        <v/>
      </c>
      <c r="N19" s="172"/>
      <c r="O19" s="24" t="str">
        <f t="shared" ref="O19" si="14">IF(M19="","",IF($J$9&lt;$K19,"",M19*$N$9))</f>
        <v/>
      </c>
      <c r="P19" s="157" t="str">
        <f>IF(K19="","",IF($J$9&lt;K19,"",ROUNDDOWN(SUM(O19:O23),-3)))</f>
        <v/>
      </c>
      <c r="Q19" s="154" t="str">
        <f>IF(P19="","",IF($J$9&lt;K19,"",IF(B19="",0,IF(OR(B19=データリスト!$C$2,B19=データリスト!$D$2,B19=データリスト!$K$2),所要額調書①!K19*1000000,所要額調書①!K19*300000))))</f>
        <v/>
      </c>
      <c r="R19" s="154" t="str">
        <f t="shared" ref="R19" si="15">IF(Q19="","",IF($J$9&lt;K19,"",ROUNDDOWN(MIN(I19,P19,Q19),-3)))</f>
        <v/>
      </c>
      <c r="S19" s="9" t="str">
        <f>CONCATENATE(B19,E19)</f>
        <v/>
      </c>
      <c r="T19" s="9" t="str">
        <f>IF(S19="","",COUNTIF($S$9:$S$23,S19))</f>
        <v/>
      </c>
    </row>
    <row r="20" spans="1:20" ht="38.25" customHeight="1">
      <c r="A20" s="163"/>
      <c r="B20" s="33" t="s">
        <v>133</v>
      </c>
      <c r="C20" s="126"/>
      <c r="D20" s="167"/>
      <c r="E20" s="167"/>
      <c r="F20" s="161"/>
      <c r="G20" s="165"/>
      <c r="H20" s="165"/>
      <c r="I20" s="158"/>
      <c r="J20" s="155"/>
      <c r="K20" s="126"/>
      <c r="L20" s="126"/>
      <c r="M20" s="31" t="str">
        <f t="shared" ref="M20" si="16">IF(K20="","",K20*L20)</f>
        <v/>
      </c>
      <c r="N20" s="172"/>
      <c r="O20" s="31" t="str">
        <f t="shared" ref="O20" si="17">IF(M20="","",IF($J$9&lt;$K$9,"",IF(L20*$N$9&gt;100000,100000*K20,M20*$N$9)))</f>
        <v/>
      </c>
      <c r="P20" s="158"/>
      <c r="Q20" s="155"/>
      <c r="R20" s="155"/>
    </row>
    <row r="21" spans="1:20" ht="38.25" customHeight="1">
      <c r="A21" s="163"/>
      <c r="B21" s="33" t="s">
        <v>134</v>
      </c>
      <c r="C21" s="126"/>
      <c r="D21" s="168"/>
      <c r="E21" s="168"/>
      <c r="F21" s="161"/>
      <c r="G21" s="165"/>
      <c r="H21" s="165"/>
      <c r="I21" s="158"/>
      <c r="J21" s="155"/>
      <c r="K21" s="126"/>
      <c r="L21" s="126"/>
      <c r="M21" s="31" t="str">
        <f t="shared" si="8"/>
        <v/>
      </c>
      <c r="N21" s="172"/>
      <c r="O21" s="31" t="str">
        <f t="shared" si="9"/>
        <v/>
      </c>
      <c r="P21" s="158"/>
      <c r="Q21" s="155"/>
      <c r="R21" s="155"/>
    </row>
    <row r="22" spans="1:20" ht="38.25" customHeight="1">
      <c r="A22" s="163"/>
      <c r="B22" s="33" t="s">
        <v>135</v>
      </c>
      <c r="C22" s="126"/>
      <c r="D22" s="168"/>
      <c r="E22" s="168"/>
      <c r="F22" s="161"/>
      <c r="G22" s="165"/>
      <c r="H22" s="165"/>
      <c r="I22" s="158"/>
      <c r="J22" s="155"/>
      <c r="K22" s="126"/>
      <c r="L22" s="126"/>
      <c r="M22" s="31" t="str">
        <f t="shared" si="8"/>
        <v/>
      </c>
      <c r="N22" s="172"/>
      <c r="O22" s="31" t="str">
        <f t="shared" si="9"/>
        <v/>
      </c>
      <c r="P22" s="158"/>
      <c r="Q22" s="155"/>
      <c r="R22" s="155"/>
    </row>
    <row r="23" spans="1:20" ht="38.25" customHeight="1">
      <c r="A23" s="163"/>
      <c r="B23" s="32" t="s">
        <v>136</v>
      </c>
      <c r="C23" s="127"/>
      <c r="D23" s="169"/>
      <c r="E23" s="169"/>
      <c r="F23" s="162"/>
      <c r="G23" s="166"/>
      <c r="H23" s="166"/>
      <c r="I23" s="159"/>
      <c r="J23" s="156"/>
      <c r="K23" s="34"/>
      <c r="L23" s="127"/>
      <c r="M23" s="41" t="str">
        <f t="shared" ref="M23" si="18">IF(L23="","",L23)</f>
        <v/>
      </c>
      <c r="N23" s="173"/>
      <c r="O23" s="41" t="str">
        <f t="shared" ref="O23" si="19">IF(M23="","",IF($J$9&lt;$K$9,"",M23*$N$9))</f>
        <v/>
      </c>
      <c r="P23" s="159"/>
      <c r="Q23" s="156"/>
      <c r="R23" s="156"/>
    </row>
    <row r="24" spans="1:20">
      <c r="A24" s="170" t="s">
        <v>16</v>
      </c>
      <c r="B24" s="170"/>
      <c r="C24" s="170"/>
      <c r="D24" s="170"/>
      <c r="E24" s="170"/>
      <c r="F24" s="170"/>
      <c r="G24" s="16">
        <f t="shared" ref="G24:H24" si="20">SUM(G9:G23)</f>
        <v>0</v>
      </c>
      <c r="H24" s="16">
        <f t="shared" si="20"/>
        <v>0</v>
      </c>
      <c r="I24" s="16">
        <f t="shared" ref="I24" si="21">SUM(I9:I23)</f>
        <v>0</v>
      </c>
      <c r="J24" s="19"/>
      <c r="K24" s="16"/>
      <c r="L24" s="16"/>
      <c r="M24" s="16">
        <f t="shared" ref="M24" si="22">SUM(M9:M23)</f>
        <v>0</v>
      </c>
      <c r="N24" s="19"/>
      <c r="O24" s="16">
        <f t="shared" ref="O24" si="23">SUM(O9:O23)</f>
        <v>0</v>
      </c>
      <c r="P24" s="16">
        <f t="shared" ref="P24" si="24">SUM(P9:P23)</f>
        <v>0</v>
      </c>
      <c r="Q24" s="16">
        <f t="shared" ref="Q24" si="25">SUM(Q9:Q23)</f>
        <v>0</v>
      </c>
      <c r="R24" s="16">
        <f>SUM(R9:R23)</f>
        <v>0</v>
      </c>
      <c r="T24" s="9">
        <f>SUM(T9:T23)</f>
        <v>0</v>
      </c>
    </row>
    <row r="25" spans="1:20" ht="37.65" customHeight="1">
      <c r="B25" s="29" t="str">
        <f>IF(T24&gt;3,"！同一の種別かつ同一の使用目的で補助できる機種は1種類限りです！","")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AfGUSkKUDfI8QuoaOxZfSsktFI9lrb2p6sdMEiM5ka+hHxyIR/oi7EfDrppcZ7GLQxkqQcSP46CbzwVPFEB5+g==" saltValue="qMvnsmdbwNbAWsVLmYZgMA==" spinCount="100000" sheet="1" objects="1" scenarios="1"/>
  <mergeCells count="34">
    <mergeCell ref="P4:R4"/>
    <mergeCell ref="P5:R5"/>
    <mergeCell ref="P1:R1"/>
    <mergeCell ref="P2:R2"/>
    <mergeCell ref="P3:R3"/>
    <mergeCell ref="A24:F24"/>
    <mergeCell ref="J9:J23"/>
    <mergeCell ref="N9:N23"/>
    <mergeCell ref="I9:I13"/>
    <mergeCell ref="R14:R18"/>
    <mergeCell ref="Q14:Q18"/>
    <mergeCell ref="R19:R23"/>
    <mergeCell ref="Q19:Q23"/>
    <mergeCell ref="P14:P18"/>
    <mergeCell ref="P19:P23"/>
    <mergeCell ref="I19:I23"/>
    <mergeCell ref="I14:I18"/>
    <mergeCell ref="G9:G13"/>
    <mergeCell ref="G14:G18"/>
    <mergeCell ref="G19:G23"/>
    <mergeCell ref="H9:H13"/>
    <mergeCell ref="R9:R13"/>
    <mergeCell ref="Q9:Q13"/>
    <mergeCell ref="P9:P13"/>
    <mergeCell ref="F9:F23"/>
    <mergeCell ref="A9:A23"/>
    <mergeCell ref="H14:H18"/>
    <mergeCell ref="H19:H23"/>
    <mergeCell ref="E10:E13"/>
    <mergeCell ref="E15:E18"/>
    <mergeCell ref="E20:E23"/>
    <mergeCell ref="D20:D23"/>
    <mergeCell ref="D15:D18"/>
    <mergeCell ref="D10:D13"/>
  </mergeCells>
  <phoneticPr fontId="1"/>
  <conditionalFormatting sqref="M9 M14 M19">
    <cfRule type="expression" dxfId="8" priority="2">
      <formula>$M9="台数上限を超えています"</formula>
    </cfRule>
  </conditionalFormatting>
  <dataValidations xWindow="701" yWindow="294" count="3">
    <dataValidation type="list" allowBlank="1" showInputMessage="1" sqref="B9:B23" xr:uid="{1A50712C-F0AF-4584-8017-B7D634BF3729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D9 D14 D19" xr:uid="{13E8FD4B-5852-45B2-8BEA-B12EFE6307DC}">
      <formula1>"有,無"</formula1>
    </dataValidation>
    <dataValidation allowBlank="1" showInputMessage="1" showErrorMessage="1" prompt="情報端末の1台あたりの金額に補助率3/4を乗じて10万円を超える場合、10万円までが補助対象額となります。" sqref="L20:L22 L15:L17 L10:L12" xr:uid="{B607E3D1-FA5E-4006-83AC-C7BE81C4F163}"/>
  </dataValidations>
  <hyperlinks>
    <hyperlink ref="B6" location="事前設定シート!A1" display="事前設定シートへ戻る" xr:uid="{F44C50B6-61AF-47CC-A861-40E286CF6F02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xWindow="701" yWindow="294" count="2">
        <x14:dataValidation type="list" allowBlank="1" showInputMessage="1" prompt="その他を選択した場合は、（）内に具体的な使用目的を記載してください。" xr:uid="{5B43E1E6-D5D4-4E61-87F3-C8B5E94A8E5A}">
          <x14:formula1>
            <xm:f>データリスト!$C$3:$C$10</xm:f>
          </x14:formula1>
          <xm:sqref>E9 E14 E19</xm:sqref>
        </x14:dataValidation>
        <x14:dataValidation type="list" allowBlank="1" showInputMessage="1" showErrorMessage="1" xr:uid="{BB7F0A89-4614-480A-8A1B-8A20099B95FE}">
          <x14:formula1>
            <xm:f>データリスト!$A$2:$A$53</xm:f>
          </x14:formula1>
          <xm:sqref>P4:R4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8199-67EC-4EE6-851B-56E4C23E049A}">
  <sheetPr codeName="Sheet4"/>
  <dimension ref="A1:T29"/>
  <sheetViews>
    <sheetView view="pageBreakPreview" topLeftCell="A6" zoomScale="75" zoomScaleNormal="70" zoomScaleSheetLayoutView="75" workbookViewId="0">
      <selection activeCell="E27" sqref="E27"/>
    </sheetView>
  </sheetViews>
  <sheetFormatPr defaultColWidth="8.83203125" defaultRowHeight="18"/>
  <cols>
    <col min="1" max="1" width="5.4140625" style="9" customWidth="1"/>
    <col min="2" max="2" width="25.83203125" style="9" customWidth="1"/>
    <col min="3" max="3" width="26.08203125" style="9" bestFit="1" customWidth="1"/>
    <col min="4" max="4" width="10.4140625" style="9" customWidth="1"/>
    <col min="5" max="5" width="46.08203125" style="9" customWidth="1"/>
    <col min="6" max="6" width="6.83203125" style="9" bestFit="1" customWidth="1"/>
    <col min="7" max="9" width="13.58203125" style="9" customWidth="1"/>
    <col min="10" max="11" width="8.58203125" style="9" bestFit="1" customWidth="1"/>
    <col min="12" max="12" width="13" style="9" customWidth="1"/>
    <col min="13" max="13" width="21.4140625" style="9" customWidth="1"/>
    <col min="14" max="14" width="6.83203125" style="9" bestFit="1" customWidth="1"/>
    <col min="15" max="17" width="13.58203125" style="9" customWidth="1"/>
    <col min="18" max="18" width="14.33203125" style="9" customWidth="1"/>
    <col min="19" max="19" width="59.6640625" style="9" customWidth="1"/>
    <col min="20" max="20" width="5.6640625" style="9" customWidth="1"/>
    <col min="21" max="16384" width="8.83203125" style="9"/>
  </cols>
  <sheetData>
    <row r="1" spans="1:20">
      <c r="A1" s="9" t="s">
        <v>3</v>
      </c>
      <c r="N1" s="12"/>
      <c r="O1" s="12" t="s">
        <v>30</v>
      </c>
      <c r="P1" s="180"/>
      <c r="Q1" s="180"/>
      <c r="R1" s="180"/>
    </row>
    <row r="2" spans="1:20">
      <c r="A2" s="9" t="s">
        <v>2</v>
      </c>
      <c r="N2" s="12"/>
      <c r="O2" s="12" t="s">
        <v>31</v>
      </c>
      <c r="P2" s="181"/>
      <c r="Q2" s="181"/>
      <c r="R2" s="181"/>
    </row>
    <row r="3" spans="1:20">
      <c r="N3" s="12"/>
      <c r="O3" s="12" t="s">
        <v>32</v>
      </c>
      <c r="P3" s="181"/>
      <c r="Q3" s="181"/>
      <c r="R3" s="181"/>
    </row>
    <row r="4" spans="1:20">
      <c r="A4" s="10" t="s">
        <v>5</v>
      </c>
      <c r="B4" s="10" t="s">
        <v>6</v>
      </c>
      <c r="C4" s="10"/>
      <c r="D4" s="11"/>
      <c r="N4" s="12"/>
      <c r="O4" s="12" t="s">
        <v>33</v>
      </c>
      <c r="P4" s="182"/>
      <c r="Q4" s="182"/>
      <c r="R4" s="182"/>
    </row>
    <row r="5" spans="1:20">
      <c r="N5" s="12"/>
      <c r="O5" s="12" t="s">
        <v>34</v>
      </c>
      <c r="P5" s="181"/>
      <c r="Q5" s="181"/>
      <c r="R5" s="181"/>
    </row>
    <row r="6" spans="1:20" ht="40" customHeight="1">
      <c r="D6" s="109" t="str">
        <f>IF(COUNTIF(D9:D23,"無")&gt;0,"TAISに掲載されていない機器を導入する場合、別紙１－４を提出。","")</f>
        <v>TAISに掲載されていない機器を導入する場合、別紙１－４を提出。</v>
      </c>
      <c r="G6" s="58" t="s">
        <v>144</v>
      </c>
      <c r="H6" s="58" t="s">
        <v>145</v>
      </c>
      <c r="I6" s="58" t="s">
        <v>146</v>
      </c>
      <c r="J6" s="58"/>
      <c r="K6" s="58" t="s">
        <v>147</v>
      </c>
      <c r="L6" s="58" t="s">
        <v>148</v>
      </c>
      <c r="M6" s="58" t="s">
        <v>149</v>
      </c>
      <c r="N6" s="58"/>
      <c r="O6" s="58" t="s">
        <v>150</v>
      </c>
      <c r="P6" s="58" t="s">
        <v>165</v>
      </c>
      <c r="Q6" s="58" t="s">
        <v>152</v>
      </c>
      <c r="R6" s="49" t="s">
        <v>162</v>
      </c>
    </row>
    <row r="7" spans="1:20" s="4" customFormat="1" ht="54" customHeight="1">
      <c r="A7" s="92"/>
      <c r="B7" s="92" t="s">
        <v>4</v>
      </c>
      <c r="C7" s="92" t="s">
        <v>0</v>
      </c>
      <c r="D7" s="92" t="s">
        <v>132</v>
      </c>
      <c r="E7" s="92" t="s">
        <v>28</v>
      </c>
      <c r="F7" s="92" t="s">
        <v>15</v>
      </c>
      <c r="G7" s="92" t="s">
        <v>143</v>
      </c>
      <c r="H7" s="92" t="s">
        <v>130</v>
      </c>
      <c r="I7" s="92" t="s">
        <v>131</v>
      </c>
      <c r="J7" s="92" t="s">
        <v>13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95" customFormat="1" ht="18" customHeight="1">
      <c r="A8" s="96"/>
      <c r="B8" s="96"/>
      <c r="C8" s="96"/>
      <c r="D8" s="96"/>
      <c r="E8" s="96"/>
      <c r="F8" s="97" t="s">
        <v>210</v>
      </c>
      <c r="G8" s="97" t="s">
        <v>211</v>
      </c>
      <c r="H8" s="97" t="s">
        <v>211</v>
      </c>
      <c r="I8" s="97" t="s">
        <v>211</v>
      </c>
      <c r="J8" s="97" t="s">
        <v>212</v>
      </c>
      <c r="K8" s="97" t="s">
        <v>212</v>
      </c>
      <c r="L8" s="97" t="s">
        <v>211</v>
      </c>
      <c r="M8" s="97" t="s">
        <v>211</v>
      </c>
      <c r="N8" s="97"/>
      <c r="O8" s="97" t="s">
        <v>211</v>
      </c>
      <c r="P8" s="97" t="s">
        <v>211</v>
      </c>
      <c r="Q8" s="97" t="s">
        <v>211</v>
      </c>
      <c r="R8" s="97" t="s">
        <v>211</v>
      </c>
    </row>
    <row r="9" spans="1:20" ht="38.25" customHeight="1">
      <c r="A9" s="183" t="s">
        <v>14</v>
      </c>
      <c r="B9" s="93" t="s">
        <v>181</v>
      </c>
      <c r="C9" s="64" t="s">
        <v>182</v>
      </c>
      <c r="D9" s="111" t="s">
        <v>183</v>
      </c>
      <c r="E9" s="94" t="s">
        <v>127</v>
      </c>
      <c r="F9" s="184">
        <v>50</v>
      </c>
      <c r="G9" s="178">
        <v>5400000</v>
      </c>
      <c r="H9" s="178">
        <v>0</v>
      </c>
      <c r="I9" s="158">
        <f>IF(G9="","",G9-H9)</f>
        <v>5400000</v>
      </c>
      <c r="J9" s="155">
        <f>IF(F9="","",ROUNDUP(F9*0.2,0))</f>
        <v>10</v>
      </c>
      <c r="K9" s="64">
        <v>10</v>
      </c>
      <c r="L9" s="64">
        <v>200000</v>
      </c>
      <c r="M9" s="31">
        <f>IF(K9="","",IF($J$9&lt;K9,"台数上限を超えています",K9*L9))</f>
        <v>2000000</v>
      </c>
      <c r="N9" s="172">
        <v>0.75</v>
      </c>
      <c r="O9" s="31">
        <f>IF(M9="","",IF($J$9&lt;$K9,"",M9*$N$9))</f>
        <v>1500000</v>
      </c>
      <c r="P9" s="158">
        <f>IF(K9="","",IF($J$9&lt;K9,"",ROUNDDOWN(SUM(O9:O13),-3)))</f>
        <v>3800000</v>
      </c>
      <c r="Q9" s="155">
        <f>IF(P9="","",IF($J$9&lt;K9,"",IF(B9="",0,IF(OR(B9=データリスト!$C$2,B9=データリスト!$D$2,B9=データリスト!$K$2),'（記載例）所要額調書①'!K9*1000000,'（記載例）所要額調書①'!K9*300000))))</f>
        <v>3000000</v>
      </c>
      <c r="R9" s="155">
        <f>IF(Q9="","",IF($J$9&lt;K9,"",ROUNDDOWN(MIN(I9,P9,Q9),-3)))</f>
        <v>3000000</v>
      </c>
      <c r="S9" s="9" t="str">
        <f>CONCATENATE(B9,E9)</f>
        <v>見守り・コミュニケーション（施設）超過勤務の削減</v>
      </c>
      <c r="T9" s="9">
        <f t="shared" ref="T9:T14" si="0">IF(S9="","",COUNTIF($S$9:$S$23,S9))</f>
        <v>1</v>
      </c>
    </row>
    <row r="10" spans="1:20" ht="38.25" customHeight="1">
      <c r="A10" s="163"/>
      <c r="B10" s="33" t="s">
        <v>133</v>
      </c>
      <c r="C10" s="64" t="s">
        <v>184</v>
      </c>
      <c r="D10" s="167"/>
      <c r="E10" s="167"/>
      <c r="F10" s="184"/>
      <c r="G10" s="178"/>
      <c r="H10" s="178"/>
      <c r="I10" s="158"/>
      <c r="J10" s="155"/>
      <c r="K10" s="64">
        <v>5</v>
      </c>
      <c r="L10" s="64">
        <v>100000</v>
      </c>
      <c r="M10" s="31">
        <f>IF(K10="","",K10*L10)</f>
        <v>500000</v>
      </c>
      <c r="N10" s="172"/>
      <c r="O10" s="31">
        <f>IF(M10="","",IF($J$9&lt;$K$9,"",IF(L10*$N$9&gt;100000,100000*K10,M10*$N$9)))</f>
        <v>375000</v>
      </c>
      <c r="P10" s="158"/>
      <c r="Q10" s="155"/>
      <c r="R10" s="155"/>
    </row>
    <row r="11" spans="1:20" ht="38.25" customHeight="1">
      <c r="A11" s="163"/>
      <c r="B11" s="33" t="s">
        <v>134</v>
      </c>
      <c r="C11" s="64" t="s">
        <v>185</v>
      </c>
      <c r="D11" s="168"/>
      <c r="E11" s="168"/>
      <c r="F11" s="184"/>
      <c r="G11" s="178"/>
      <c r="H11" s="178"/>
      <c r="I11" s="158"/>
      <c r="J11" s="155"/>
      <c r="K11" s="64">
        <v>5</v>
      </c>
      <c r="L11" s="64">
        <v>80000</v>
      </c>
      <c r="M11" s="31">
        <f t="shared" ref="M11:M12" si="1">IF(K11="","",K11*L11)</f>
        <v>400000</v>
      </c>
      <c r="N11" s="172"/>
      <c r="O11" s="31">
        <f t="shared" ref="O11:O12" si="2">IF(M11="","",IF($J$9&lt;$K$9,"",IF(L11*$N$9&gt;100000,100000*K11,M11*$N$9)))</f>
        <v>300000</v>
      </c>
      <c r="P11" s="158"/>
      <c r="Q11" s="155"/>
      <c r="R11" s="155"/>
    </row>
    <row r="12" spans="1:20" ht="38.25" customHeight="1">
      <c r="A12" s="163"/>
      <c r="B12" s="33" t="s">
        <v>135</v>
      </c>
      <c r="C12" s="64" t="s">
        <v>186</v>
      </c>
      <c r="D12" s="168"/>
      <c r="E12" s="168"/>
      <c r="F12" s="184"/>
      <c r="G12" s="178"/>
      <c r="H12" s="178"/>
      <c r="I12" s="158"/>
      <c r="J12" s="155"/>
      <c r="K12" s="64">
        <v>5</v>
      </c>
      <c r="L12" s="64">
        <v>200000</v>
      </c>
      <c r="M12" s="31">
        <f t="shared" si="1"/>
        <v>1000000</v>
      </c>
      <c r="N12" s="172"/>
      <c r="O12" s="31">
        <f t="shared" si="2"/>
        <v>500000</v>
      </c>
      <c r="P12" s="158"/>
      <c r="Q12" s="155"/>
      <c r="R12" s="155"/>
    </row>
    <row r="13" spans="1:20" ht="38.25" customHeight="1">
      <c r="A13" s="163"/>
      <c r="B13" s="32" t="s">
        <v>136</v>
      </c>
      <c r="C13" s="65" t="s">
        <v>187</v>
      </c>
      <c r="D13" s="169"/>
      <c r="E13" s="169"/>
      <c r="F13" s="184"/>
      <c r="G13" s="179"/>
      <c r="H13" s="179"/>
      <c r="I13" s="159"/>
      <c r="J13" s="155"/>
      <c r="K13" s="66"/>
      <c r="L13" s="65">
        <v>1500000</v>
      </c>
      <c r="M13" s="55">
        <f>IF(L13="","",L13)</f>
        <v>1500000</v>
      </c>
      <c r="N13" s="172"/>
      <c r="O13" s="55">
        <f>IF(M13="","",IF($J$9&lt;$K$9,"",M13*$N$9))</f>
        <v>1125000</v>
      </c>
      <c r="P13" s="159"/>
      <c r="Q13" s="156"/>
      <c r="R13" s="156"/>
    </row>
    <row r="14" spans="1:20" ht="38.25" customHeight="1">
      <c r="A14" s="163"/>
      <c r="B14" s="61" t="s">
        <v>188</v>
      </c>
      <c r="C14" s="62" t="s">
        <v>189</v>
      </c>
      <c r="D14" s="112" t="s">
        <v>190</v>
      </c>
      <c r="E14" s="63" t="s">
        <v>124</v>
      </c>
      <c r="F14" s="184"/>
      <c r="G14" s="177">
        <v>12050000</v>
      </c>
      <c r="H14" s="177">
        <v>0</v>
      </c>
      <c r="I14" s="157">
        <f t="shared" ref="I14" si="3">IF(G14="","",G14-H14)</f>
        <v>12050000</v>
      </c>
      <c r="J14" s="155"/>
      <c r="K14" s="62">
        <v>10</v>
      </c>
      <c r="L14" s="62">
        <v>1200000</v>
      </c>
      <c r="M14" s="24">
        <f t="shared" ref="M14" si="4">IF(K14="","",IF($J$9&lt;K14,"台数上限を超えています",K14*L14))</f>
        <v>12000000</v>
      </c>
      <c r="N14" s="172"/>
      <c r="O14" s="24">
        <f t="shared" ref="O14" si="5">IF(M14="","",IF($J$9&lt;$K14,"",M14*$N$9))</f>
        <v>9000000</v>
      </c>
      <c r="P14" s="157">
        <f t="shared" ref="P14" si="6">IF(K14="","",IF($J$9&lt;K14,"",ROUNDDOWN(SUM(O14:O18),-3)))</f>
        <v>9000000</v>
      </c>
      <c r="Q14" s="154">
        <f>IF(P14="","",IF($J$9&lt;K14,"",IF(B14="",0,IF(OR(B14=データリスト!$C$2,B14=データリスト!$D$2,B14=データリスト!$K$2),'（記載例）所要額調書①'!K14*1000000,'（記載例）所要額調書①'!K14*300000))))</f>
        <v>10000000</v>
      </c>
      <c r="R14" s="154">
        <f t="shared" ref="R14" si="7">IF(Q14="","",IF($J$9&lt;K14,"",ROUNDDOWN(MIN(I14,P14,Q14),-3)))</f>
        <v>9000000</v>
      </c>
      <c r="S14" s="9" t="str">
        <f>CONCATENATE(B14,E14)</f>
        <v>入浴支援職員の心理的負担の軽減</v>
      </c>
      <c r="T14" s="9">
        <f t="shared" si="0"/>
        <v>1</v>
      </c>
    </row>
    <row r="15" spans="1:20" ht="38.25" customHeight="1">
      <c r="A15" s="163"/>
      <c r="B15" s="33" t="s">
        <v>133</v>
      </c>
      <c r="C15" s="64"/>
      <c r="D15" s="167"/>
      <c r="E15" s="167"/>
      <c r="F15" s="184"/>
      <c r="G15" s="178"/>
      <c r="H15" s="178"/>
      <c r="I15" s="158"/>
      <c r="J15" s="155"/>
      <c r="K15" s="64"/>
      <c r="L15" s="64"/>
      <c r="M15" s="31" t="str">
        <f t="shared" ref="M15:M22" si="8">IF(K15="","",K15*L15)</f>
        <v/>
      </c>
      <c r="N15" s="172"/>
      <c r="O15" s="31" t="str">
        <f t="shared" ref="O15:O22" si="9">IF(M15="","",IF($J$9&lt;$K$9,"",IF(L15*$N$9&gt;100000,100000*K15,M15*$N$9)))</f>
        <v/>
      </c>
      <c r="P15" s="158"/>
      <c r="Q15" s="155"/>
      <c r="R15" s="155"/>
    </row>
    <row r="16" spans="1:20" ht="38.25" customHeight="1">
      <c r="A16" s="163"/>
      <c r="B16" s="33" t="s">
        <v>134</v>
      </c>
      <c r="C16" s="64"/>
      <c r="D16" s="168"/>
      <c r="E16" s="168"/>
      <c r="F16" s="184"/>
      <c r="G16" s="178"/>
      <c r="H16" s="178"/>
      <c r="I16" s="158"/>
      <c r="J16" s="155"/>
      <c r="K16" s="64"/>
      <c r="L16" s="64"/>
      <c r="M16" s="31" t="str">
        <f t="shared" si="8"/>
        <v/>
      </c>
      <c r="N16" s="172"/>
      <c r="O16" s="31" t="str">
        <f t="shared" si="9"/>
        <v/>
      </c>
      <c r="P16" s="158"/>
      <c r="Q16" s="155"/>
      <c r="R16" s="155"/>
    </row>
    <row r="17" spans="1:20" ht="38.25" customHeight="1">
      <c r="A17" s="163"/>
      <c r="B17" s="33" t="s">
        <v>135</v>
      </c>
      <c r="C17" s="64"/>
      <c r="D17" s="168"/>
      <c r="E17" s="168"/>
      <c r="F17" s="184"/>
      <c r="G17" s="178"/>
      <c r="H17" s="178"/>
      <c r="I17" s="158"/>
      <c r="J17" s="155"/>
      <c r="K17" s="64"/>
      <c r="L17" s="64"/>
      <c r="M17" s="31" t="str">
        <f t="shared" si="8"/>
        <v/>
      </c>
      <c r="N17" s="172"/>
      <c r="O17" s="31" t="str">
        <f t="shared" si="9"/>
        <v/>
      </c>
      <c r="P17" s="158"/>
      <c r="Q17" s="155"/>
      <c r="R17" s="155"/>
    </row>
    <row r="18" spans="1:20" ht="38.25" customHeight="1">
      <c r="A18" s="163"/>
      <c r="B18" s="32" t="s">
        <v>136</v>
      </c>
      <c r="C18" s="65"/>
      <c r="D18" s="169"/>
      <c r="E18" s="169"/>
      <c r="F18" s="184"/>
      <c r="G18" s="179"/>
      <c r="H18" s="179"/>
      <c r="I18" s="159"/>
      <c r="J18" s="155"/>
      <c r="K18" s="66"/>
      <c r="L18" s="65"/>
      <c r="M18" s="55" t="str">
        <f t="shared" ref="M18" si="10">IF(L18="","",L18)</f>
        <v/>
      </c>
      <c r="N18" s="172"/>
      <c r="O18" s="55" t="str">
        <f t="shared" ref="O18" si="11">IF(M18="","",IF($J$9&lt;$K$9,"",M18*$N$9))</f>
        <v/>
      </c>
      <c r="P18" s="159"/>
      <c r="Q18" s="156"/>
      <c r="R18" s="156"/>
    </row>
    <row r="19" spans="1:20" ht="38.25" customHeight="1">
      <c r="A19" s="163"/>
      <c r="B19" s="61" t="s">
        <v>192</v>
      </c>
      <c r="C19" s="62" t="s">
        <v>191</v>
      </c>
      <c r="D19" s="112" t="s">
        <v>183</v>
      </c>
      <c r="E19" s="63" t="s">
        <v>124</v>
      </c>
      <c r="F19" s="184"/>
      <c r="G19" s="177">
        <v>3000000</v>
      </c>
      <c r="H19" s="177">
        <v>0</v>
      </c>
      <c r="I19" s="157">
        <f t="shared" ref="I19" si="12">IF(G19="","",G19-H19)</f>
        <v>3000000</v>
      </c>
      <c r="J19" s="155"/>
      <c r="K19" s="62">
        <v>10</v>
      </c>
      <c r="L19" s="62">
        <v>300000</v>
      </c>
      <c r="M19" s="24">
        <f t="shared" ref="M19" si="13">IF(K19="","",IF($J$9&lt;K19,"台数上限を超えています",K19*L19))</f>
        <v>3000000</v>
      </c>
      <c r="N19" s="172"/>
      <c r="O19" s="24">
        <f t="shared" ref="O19" si="14">IF(M19="","",IF($J$9&lt;$K19,"",M19*$N$9))</f>
        <v>2250000</v>
      </c>
      <c r="P19" s="157">
        <f>IF(K19="","",IF($J$9&lt;K19,"",ROUNDDOWN(SUM(O19:O23),-3)))</f>
        <v>2250000</v>
      </c>
      <c r="Q19" s="154">
        <f>IF(P19="","",IF($J$9&lt;K19,"",IF(B19="",0,IF(OR(B19=データリスト!$C$2,B19=データリスト!$D$2,B19=データリスト!$K$2),'（記載例）所要額調書①'!K19*1000000,'（記載例）所要額調書①'!K19*300000))))</f>
        <v>10000000</v>
      </c>
      <c r="R19" s="154">
        <f t="shared" ref="R19" si="15">IF(Q19="","",IF($J$9&lt;K19,"",ROUNDDOWN(MIN(I19,P19,Q19),-3)))</f>
        <v>2250000</v>
      </c>
      <c r="S19" s="9" t="str">
        <f>CONCATENATE(B19,E19)</f>
        <v>移乗支援（装着）職員の心理的負担の軽減</v>
      </c>
      <c r="T19" s="9">
        <f>IF(S19="","",COUNTIF($S$9:$S$23,S19))</f>
        <v>1</v>
      </c>
    </row>
    <row r="20" spans="1:20" ht="38.25" customHeight="1">
      <c r="A20" s="163"/>
      <c r="B20" s="33" t="s">
        <v>133</v>
      </c>
      <c r="C20" s="30"/>
      <c r="D20" s="167"/>
      <c r="E20" s="167"/>
      <c r="F20" s="184"/>
      <c r="G20" s="178"/>
      <c r="H20" s="178"/>
      <c r="I20" s="158"/>
      <c r="J20" s="155"/>
      <c r="K20" s="64"/>
      <c r="L20" s="64"/>
      <c r="M20" s="31" t="str">
        <f t="shared" ref="M20" si="16">IF(K20="","",K20*L20)</f>
        <v/>
      </c>
      <c r="N20" s="172"/>
      <c r="O20" s="31" t="str">
        <f t="shared" ref="O20" si="17">IF(M20="","",IF($J$9&lt;$K$9,"",IF(L20*$N$9&gt;100000,100000*K20,M20*$N$9)))</f>
        <v/>
      </c>
      <c r="P20" s="158"/>
      <c r="Q20" s="155"/>
      <c r="R20" s="155"/>
    </row>
    <row r="21" spans="1:20" ht="38.25" customHeight="1">
      <c r="A21" s="163"/>
      <c r="B21" s="33" t="s">
        <v>134</v>
      </c>
      <c r="C21" s="30"/>
      <c r="D21" s="168"/>
      <c r="E21" s="168"/>
      <c r="F21" s="184"/>
      <c r="G21" s="178"/>
      <c r="H21" s="178"/>
      <c r="I21" s="158"/>
      <c r="J21" s="155"/>
      <c r="K21" s="64"/>
      <c r="L21" s="64"/>
      <c r="M21" s="31" t="str">
        <f t="shared" si="8"/>
        <v/>
      </c>
      <c r="N21" s="172"/>
      <c r="O21" s="31" t="str">
        <f t="shared" si="9"/>
        <v/>
      </c>
      <c r="P21" s="158"/>
      <c r="Q21" s="155"/>
      <c r="R21" s="155"/>
    </row>
    <row r="22" spans="1:20" ht="38.25" customHeight="1">
      <c r="A22" s="163"/>
      <c r="B22" s="33" t="s">
        <v>135</v>
      </c>
      <c r="C22" s="30"/>
      <c r="D22" s="168"/>
      <c r="E22" s="168"/>
      <c r="F22" s="184"/>
      <c r="G22" s="178"/>
      <c r="H22" s="178"/>
      <c r="I22" s="158"/>
      <c r="J22" s="155"/>
      <c r="K22" s="64"/>
      <c r="L22" s="64"/>
      <c r="M22" s="31" t="str">
        <f t="shared" si="8"/>
        <v/>
      </c>
      <c r="N22" s="172"/>
      <c r="O22" s="31" t="str">
        <f t="shared" si="9"/>
        <v/>
      </c>
      <c r="P22" s="158"/>
      <c r="Q22" s="155"/>
      <c r="R22" s="155"/>
    </row>
    <row r="23" spans="1:20" ht="38.25" customHeight="1">
      <c r="A23" s="163"/>
      <c r="B23" s="32" t="s">
        <v>136</v>
      </c>
      <c r="C23" s="57"/>
      <c r="D23" s="169"/>
      <c r="E23" s="169"/>
      <c r="F23" s="185"/>
      <c r="G23" s="179"/>
      <c r="H23" s="179"/>
      <c r="I23" s="159"/>
      <c r="J23" s="156"/>
      <c r="K23" s="66"/>
      <c r="L23" s="65"/>
      <c r="M23" s="55" t="str">
        <f t="shared" ref="M23" si="18">IF(L23="","",L23)</f>
        <v/>
      </c>
      <c r="N23" s="173"/>
      <c r="O23" s="55" t="str">
        <f t="shared" ref="O23" si="19">IF(M23="","",IF($J$9&lt;$K$9,"",M23*$N$9))</f>
        <v/>
      </c>
      <c r="P23" s="159"/>
      <c r="Q23" s="156"/>
      <c r="R23" s="156"/>
    </row>
    <row r="24" spans="1:20">
      <c r="A24" s="170" t="s">
        <v>16</v>
      </c>
      <c r="B24" s="170"/>
      <c r="C24" s="170"/>
      <c r="D24" s="170"/>
      <c r="E24" s="170"/>
      <c r="F24" s="170"/>
      <c r="G24" s="16">
        <f t="shared" ref="G24:I24" si="20">SUM(G9:G23)</f>
        <v>20450000</v>
      </c>
      <c r="H24" s="16">
        <f t="shared" si="20"/>
        <v>0</v>
      </c>
      <c r="I24" s="16">
        <f t="shared" si="20"/>
        <v>20450000</v>
      </c>
      <c r="J24" s="19"/>
      <c r="K24" s="16"/>
      <c r="L24" s="16"/>
      <c r="M24" s="16">
        <f t="shared" ref="M24" si="21">SUM(M9:M23)</f>
        <v>20400000</v>
      </c>
      <c r="N24" s="19"/>
      <c r="O24" s="16">
        <f t="shared" ref="O24:Q24" si="22">SUM(O9:O23)</f>
        <v>15050000</v>
      </c>
      <c r="P24" s="16">
        <f t="shared" si="22"/>
        <v>15050000</v>
      </c>
      <c r="Q24" s="16">
        <f t="shared" si="22"/>
        <v>23000000</v>
      </c>
      <c r="R24" s="16">
        <f>SUM(R9:R23)</f>
        <v>14250000</v>
      </c>
      <c r="T24" s="9">
        <f>SUM(T9:T23)</f>
        <v>3</v>
      </c>
    </row>
    <row r="25" spans="1:20" ht="37.65" customHeight="1">
      <c r="B25" s="29" t="str">
        <f>IF(T24&gt;3,"！同一の種別かつ同一の使用目的で補助できる機種は1種類限りです！","")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51XOsayvyDiYdUHM8fJPYygTV+DhW2FDOhGHwgZyMZ1Ksdo+Xei28+lZ3JAAxIfy+JFKUmotQzo9l0Edlk4PcA==" saltValue="LkRipx8eo0IQOzwLJEB4TA==" spinCount="100000" sheet="1" objects="1" scenarios="1"/>
  <mergeCells count="34">
    <mergeCell ref="A9:A23"/>
    <mergeCell ref="F9:F23"/>
    <mergeCell ref="G9:G13"/>
    <mergeCell ref="H9:H13"/>
    <mergeCell ref="I9:I13"/>
    <mergeCell ref="G14:G18"/>
    <mergeCell ref="H14:H18"/>
    <mergeCell ref="I14:I18"/>
    <mergeCell ref="P1:R1"/>
    <mergeCell ref="P2:R2"/>
    <mergeCell ref="P3:R3"/>
    <mergeCell ref="P4:R4"/>
    <mergeCell ref="P5:R5"/>
    <mergeCell ref="P9:P13"/>
    <mergeCell ref="Q9:Q13"/>
    <mergeCell ref="R9:R13"/>
    <mergeCell ref="D10:D13"/>
    <mergeCell ref="E10:E13"/>
    <mergeCell ref="R19:R23"/>
    <mergeCell ref="D20:D23"/>
    <mergeCell ref="E20:E23"/>
    <mergeCell ref="A24:F24"/>
    <mergeCell ref="P14:P18"/>
    <mergeCell ref="Q14:Q18"/>
    <mergeCell ref="R14:R18"/>
    <mergeCell ref="D15:D18"/>
    <mergeCell ref="E15:E18"/>
    <mergeCell ref="G19:G23"/>
    <mergeCell ref="H19:H23"/>
    <mergeCell ref="I19:I23"/>
    <mergeCell ref="P19:P23"/>
    <mergeCell ref="Q19:Q23"/>
    <mergeCell ref="J9:J23"/>
    <mergeCell ref="N9:N23"/>
  </mergeCells>
  <phoneticPr fontId="1"/>
  <conditionalFormatting sqref="M9 M14 M19">
    <cfRule type="expression" dxfId="7" priority="1">
      <formula>$M9="台数上限を超えています"</formula>
    </cfRule>
  </conditionalFormatting>
  <dataValidations count="3">
    <dataValidation allowBlank="1" showInputMessage="1" showErrorMessage="1" prompt="情報端末の1台あたりの金額に補助率3/4を乗じて10万円を超える場合、10万円までが補助対象額となります。" sqref="L20:L22 L15:L17 L10:L12" xr:uid="{ACBD5989-1582-444E-A632-BFE3F29B65F9}"/>
    <dataValidation type="list" allowBlank="1" showInputMessage="1" showErrorMessage="1" sqref="D9 D14 D19" xr:uid="{A082AB9B-7C36-4F0C-9D14-8525EE7F8D2E}">
      <formula1>"有,無"</formula1>
    </dataValidation>
    <dataValidation type="list" allowBlank="1" showInputMessage="1" sqref="B9:B23" xr:uid="{D26DEA01-1D45-42B4-BE0B-C30C1B42DFFC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</dataValidations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6FF9B2-C55B-4CE3-9895-7095C77C65D0}">
          <x14:formula1>
            <xm:f>データリスト!$A$2:$A$53</xm:f>
          </x14:formula1>
          <xm:sqref>P4:R4</xm:sqref>
        </x14:dataValidation>
        <x14:dataValidation type="list" allowBlank="1" showInputMessage="1" prompt="その他を選択した場合は、（）内に具体的な使用目的を記載してください。" xr:uid="{DCD0A06A-1803-4BDE-9706-ABC50CBA69DA}">
          <x14:formula1>
            <xm:f>データリスト!$C$3:$C$10</xm:f>
          </x14:formula1>
          <xm:sqref>E9 E14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DD1E-9EE4-4AB8-AC4D-61AAA868C8BA}">
  <sheetPr codeName="Sheet5"/>
  <dimension ref="A1:T29"/>
  <sheetViews>
    <sheetView view="pageBreakPreview" zoomScale="70" zoomScaleNormal="70" zoomScaleSheetLayoutView="70" workbookViewId="0">
      <selection activeCell="B19" sqref="B19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22.33203125" style="9" customWidth="1"/>
    <col min="7" max="7" width="6.83203125" style="9" bestFit="1" customWidth="1"/>
    <col min="8" max="10" width="13.58203125" style="9" customWidth="1"/>
    <col min="11" max="11" width="8.58203125" style="9" bestFit="1" customWidth="1"/>
    <col min="12" max="12" width="13" style="9" customWidth="1"/>
    <col min="13" max="13" width="21.83203125" style="9" customWidth="1"/>
    <col min="14" max="14" width="6.83203125" style="9" bestFit="1" customWidth="1"/>
    <col min="15" max="15" width="13.58203125" style="9" customWidth="1"/>
    <col min="16" max="16" width="13.6640625" style="9" customWidth="1"/>
    <col min="17" max="17" width="13" style="9" customWidth="1"/>
    <col min="18" max="18" width="13.83203125" style="9" bestFit="1" customWidth="1"/>
    <col min="19" max="19" width="36.6640625" style="9" customWidth="1"/>
    <col min="20" max="20" width="5.6640625" style="9" customWidth="1"/>
    <col min="21" max="16384" width="8.83203125" style="9"/>
  </cols>
  <sheetData>
    <row r="1" spans="1:20">
      <c r="A1" s="9" t="s">
        <v>27</v>
      </c>
      <c r="N1" s="12"/>
      <c r="O1" s="12" t="s">
        <v>30</v>
      </c>
      <c r="P1" s="176"/>
      <c r="Q1" s="176"/>
      <c r="R1" s="176"/>
    </row>
    <row r="2" spans="1:20">
      <c r="A2" s="9" t="s">
        <v>2</v>
      </c>
      <c r="N2" s="12"/>
      <c r="O2" s="12" t="s">
        <v>31</v>
      </c>
      <c r="P2" s="175"/>
      <c r="Q2" s="175"/>
      <c r="R2" s="175"/>
    </row>
    <row r="3" spans="1:20">
      <c r="N3" s="12"/>
      <c r="O3" s="12" t="s">
        <v>32</v>
      </c>
      <c r="P3" s="175"/>
      <c r="Q3" s="175"/>
      <c r="R3" s="175"/>
    </row>
    <row r="4" spans="1:20">
      <c r="A4" s="10" t="s">
        <v>177</v>
      </c>
      <c r="B4" s="10"/>
      <c r="C4" s="11"/>
      <c r="E4" s="11"/>
      <c r="F4" s="11"/>
      <c r="N4" s="12"/>
      <c r="O4" s="12" t="s">
        <v>33</v>
      </c>
      <c r="P4" s="174"/>
      <c r="Q4" s="174"/>
      <c r="R4" s="174"/>
    </row>
    <row r="5" spans="1:20">
      <c r="N5" s="12"/>
      <c r="O5" s="12" t="s">
        <v>34</v>
      </c>
      <c r="P5" s="175"/>
      <c r="Q5" s="175"/>
      <c r="R5" s="175"/>
    </row>
    <row r="6" spans="1:20" ht="40" customHeight="1">
      <c r="A6" s="83" t="s">
        <v>209</v>
      </c>
      <c r="C6" s="109" t="str">
        <f>IF(COUNTIF(C9:C23,"無")&gt;0,"TAISに掲載されていない機器を導入する場合、別紙１－４を提出。","")</f>
        <v/>
      </c>
      <c r="H6" s="43" t="s">
        <v>144</v>
      </c>
      <c r="I6" s="43" t="s">
        <v>145</v>
      </c>
      <c r="J6" s="43" t="s">
        <v>146</v>
      </c>
      <c r="K6" s="43" t="s">
        <v>147</v>
      </c>
      <c r="L6" s="43" t="s">
        <v>148</v>
      </c>
      <c r="M6" s="43" t="s">
        <v>149</v>
      </c>
      <c r="N6" s="43"/>
      <c r="O6" s="43" t="s">
        <v>150</v>
      </c>
      <c r="P6" s="43" t="s">
        <v>165</v>
      </c>
      <c r="Q6" s="43" t="s">
        <v>152</v>
      </c>
      <c r="R6" s="49" t="s">
        <v>162</v>
      </c>
      <c r="S6" s="49"/>
    </row>
    <row r="7" spans="1:20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140</v>
      </c>
      <c r="G7" s="92" t="s">
        <v>20</v>
      </c>
      <c r="H7" s="92" t="s">
        <v>143</v>
      </c>
      <c r="I7" s="92" t="s">
        <v>130</v>
      </c>
      <c r="J7" s="92" t="s">
        <v>131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4" customFormat="1" ht="18" customHeight="1">
      <c r="A8" s="99"/>
      <c r="B8" s="99"/>
      <c r="C8" s="96"/>
      <c r="D8" s="99"/>
      <c r="E8" s="99"/>
      <c r="F8" s="99"/>
      <c r="G8" s="99" t="s">
        <v>210</v>
      </c>
      <c r="H8" s="99" t="s">
        <v>211</v>
      </c>
      <c r="I8" s="99" t="s">
        <v>211</v>
      </c>
      <c r="J8" s="99" t="s">
        <v>211</v>
      </c>
      <c r="K8" s="99" t="s">
        <v>212</v>
      </c>
      <c r="L8" s="99" t="s">
        <v>211</v>
      </c>
      <c r="M8" s="99" t="s">
        <v>211</v>
      </c>
      <c r="N8" s="99"/>
      <c r="O8" s="99" t="s">
        <v>211</v>
      </c>
      <c r="P8" s="99" t="s">
        <v>211</v>
      </c>
      <c r="Q8" s="99" t="s">
        <v>211</v>
      </c>
      <c r="R8" s="99" t="s">
        <v>211</v>
      </c>
    </row>
    <row r="9" spans="1:20" ht="38.25" customHeight="1">
      <c r="A9" s="35" t="s">
        <v>19</v>
      </c>
      <c r="B9" s="123"/>
      <c r="C9" s="124"/>
      <c r="D9" s="125"/>
      <c r="E9" s="129"/>
      <c r="F9" s="129"/>
      <c r="G9" s="160"/>
      <c r="H9" s="164"/>
      <c r="I9" s="164"/>
      <c r="J9" s="157" t="str">
        <f>IF(H9="","",H9-I9)</f>
        <v/>
      </c>
      <c r="K9" s="36"/>
      <c r="L9" s="123"/>
      <c r="M9" s="24" t="str">
        <f>IF(L9="","",L9)</f>
        <v/>
      </c>
      <c r="N9" s="171">
        <v>0.75</v>
      </c>
      <c r="O9" s="24" t="str">
        <f>IF(M9="","",M9*$N$9)</f>
        <v/>
      </c>
      <c r="P9" s="157" t="str">
        <f>IF(L9="","",ROUNDDOWN(SUM(O9:O13),-3))</f>
        <v/>
      </c>
      <c r="Q9" s="154" t="str">
        <f>IF(P9="","",IF(E9="",0,IF(E9="職員数により合計金額が変動しない",IF(F9="5事業所以上とデータ連携を実施",2550000,2500000),IF(F9="5事業所以上とデータ連携を実施",IF($G$9&lt;=10,1050000,IF($G$9&lt;=20,1550000,IF($G$9&lt;=30,2050000,2550000))),IF($G$9&lt;=10,1000000,IF($G$9&lt;=20,1500000,IF($G$9&lt;=30,2000000,2500000)))))))</f>
        <v/>
      </c>
      <c r="R9" s="154" t="str">
        <f>IF(Q9="","",ROUNDDOWN(MIN(J9,P9,Q9),-3))</f>
        <v/>
      </c>
      <c r="S9" s="9" t="str">
        <f>CONCATENATE(A9,D9)</f>
        <v>介護ソフト</v>
      </c>
      <c r="T9" s="9" t="str">
        <f>IF(D9="","",IF(S9="","",COUNTIF($S$9:$S$23,S9)))</f>
        <v/>
      </c>
    </row>
    <row r="10" spans="1:20" ht="38.25" customHeight="1">
      <c r="A10" s="33" t="s">
        <v>133</v>
      </c>
      <c r="B10" s="126"/>
      <c r="C10" s="167"/>
      <c r="D10" s="167"/>
      <c r="E10" s="167"/>
      <c r="F10" s="167"/>
      <c r="G10" s="161"/>
      <c r="H10" s="165"/>
      <c r="I10" s="165"/>
      <c r="J10" s="158"/>
      <c r="K10" s="126"/>
      <c r="L10" s="126"/>
      <c r="M10" s="31" t="str">
        <f>IF(K10="","",K10*L10)</f>
        <v/>
      </c>
      <c r="N10" s="172"/>
      <c r="O10" s="31" t="str">
        <f>IF(M10="","",IF(L10*$N$9&gt;100000,100000*K10,M10*$N$9))</f>
        <v/>
      </c>
      <c r="P10" s="158"/>
      <c r="Q10" s="155"/>
      <c r="R10" s="155"/>
    </row>
    <row r="11" spans="1:20" ht="38.25" customHeight="1">
      <c r="A11" s="33" t="s">
        <v>134</v>
      </c>
      <c r="B11" s="126"/>
      <c r="C11" s="168"/>
      <c r="D11" s="168"/>
      <c r="E11" s="168"/>
      <c r="F11" s="168"/>
      <c r="G11" s="161"/>
      <c r="H11" s="165"/>
      <c r="I11" s="165"/>
      <c r="J11" s="158"/>
      <c r="K11" s="126"/>
      <c r="L11" s="126"/>
      <c r="M11" s="31" t="str">
        <f t="shared" ref="M11:M12" si="0">IF(K11="","",K11*L11)</f>
        <v/>
      </c>
      <c r="N11" s="172"/>
      <c r="O11" s="31" t="str">
        <f t="shared" ref="O11:O12" si="1">IF(M11="","",IF(L11*$N$9&gt;100000,100000*K11,M11*$N$9))</f>
        <v/>
      </c>
      <c r="P11" s="158"/>
      <c r="Q11" s="155"/>
      <c r="R11" s="155"/>
    </row>
    <row r="12" spans="1:20" ht="38.25" customHeight="1">
      <c r="A12" s="33" t="s">
        <v>135</v>
      </c>
      <c r="B12" s="126"/>
      <c r="C12" s="168"/>
      <c r="D12" s="168"/>
      <c r="E12" s="168"/>
      <c r="F12" s="168"/>
      <c r="G12" s="161"/>
      <c r="H12" s="165"/>
      <c r="I12" s="165"/>
      <c r="J12" s="158"/>
      <c r="K12" s="126"/>
      <c r="L12" s="126"/>
      <c r="M12" s="31" t="str">
        <f t="shared" si="0"/>
        <v/>
      </c>
      <c r="N12" s="172"/>
      <c r="O12" s="31" t="str">
        <f t="shared" si="1"/>
        <v/>
      </c>
      <c r="P12" s="158"/>
      <c r="Q12" s="155"/>
      <c r="R12" s="155"/>
    </row>
    <row r="13" spans="1:20" ht="38.25" customHeight="1">
      <c r="A13" s="32" t="s">
        <v>136</v>
      </c>
      <c r="B13" s="128"/>
      <c r="C13" s="169"/>
      <c r="D13" s="169"/>
      <c r="E13" s="169"/>
      <c r="F13" s="169"/>
      <c r="G13" s="161"/>
      <c r="H13" s="166"/>
      <c r="I13" s="166"/>
      <c r="J13" s="159"/>
      <c r="K13" s="34"/>
      <c r="L13" s="128"/>
      <c r="M13" s="26" t="str">
        <f>IF(L13="","",L13)</f>
        <v/>
      </c>
      <c r="N13" s="172"/>
      <c r="O13" s="41" t="str">
        <f>IF(M13="","",M13*$N$9)</f>
        <v/>
      </c>
      <c r="P13" s="159"/>
      <c r="Q13" s="156"/>
      <c r="R13" s="156"/>
    </row>
    <row r="14" spans="1:20" ht="38.25" customHeight="1">
      <c r="A14" s="35" t="s">
        <v>19</v>
      </c>
      <c r="B14" s="123"/>
      <c r="C14" s="124"/>
      <c r="D14" s="125"/>
      <c r="E14" s="129"/>
      <c r="F14" s="129"/>
      <c r="G14" s="161"/>
      <c r="H14" s="164"/>
      <c r="I14" s="164"/>
      <c r="J14" s="157" t="str">
        <f t="shared" ref="J14" si="2">IF(H14="","",H14-I14)</f>
        <v/>
      </c>
      <c r="K14" s="36"/>
      <c r="L14" s="123"/>
      <c r="M14" s="24" t="str">
        <f t="shared" ref="M14" si="3">IF(L14="","",L14)</f>
        <v/>
      </c>
      <c r="N14" s="172"/>
      <c r="O14" s="24" t="str">
        <f t="shared" ref="O14" si="4">IF(M14="","",M14*$N$9)</f>
        <v/>
      </c>
      <c r="P14" s="157" t="str">
        <f t="shared" ref="P14" si="5">IF(L14="","",ROUNDDOWN(SUM(O14:O18),-3))</f>
        <v/>
      </c>
      <c r="Q14" s="154" t="str">
        <f t="shared" ref="Q14" si="6">IF(P14="","",IF(E14="",0,IF(E14="職員数により合計金額が変動しない",IF(F14="5事業所以上とデータ連携を実施",2550000,2500000),IF(F14="5事業所以上とデータ連携を実施",IF($G$9&lt;=10,1050000,IF($G$9&lt;=20,1550000,IF($G$9&lt;=30,2050000,2550000))),IF($G$9&lt;=10,1000000,IF($G$9&lt;=20,1500000,IF($G$9&lt;=30,2000000,2500000)))))))</f>
        <v/>
      </c>
      <c r="R14" s="154" t="str">
        <f t="shared" ref="R14" si="7">IF(Q14="","",ROUNDDOWN(MIN(J14,P14,Q14),-3))</f>
        <v/>
      </c>
      <c r="S14" s="9" t="str">
        <f>CONCATENATE(A14,D14)</f>
        <v>介護ソフト</v>
      </c>
      <c r="T14" s="9" t="str">
        <f>IF(D14="","",IF(S14="","",COUNTIF($S$9:$S$23,S14)))</f>
        <v/>
      </c>
    </row>
    <row r="15" spans="1:20" ht="38.25" customHeight="1">
      <c r="A15" s="33" t="s">
        <v>133</v>
      </c>
      <c r="B15" s="126"/>
      <c r="C15" s="167"/>
      <c r="D15" s="167"/>
      <c r="E15" s="167"/>
      <c r="F15" s="167"/>
      <c r="G15" s="161"/>
      <c r="H15" s="165"/>
      <c r="I15" s="165"/>
      <c r="J15" s="158"/>
      <c r="K15" s="126"/>
      <c r="L15" s="126"/>
      <c r="M15" s="31" t="str">
        <f t="shared" ref="M15:M22" si="8">IF(K15="","",K15*L15)</f>
        <v/>
      </c>
      <c r="N15" s="172"/>
      <c r="O15" s="31" t="str">
        <f t="shared" ref="O15:O22" si="9">IF(M15="","",IF(L15*$N$9&gt;100000,100000*K15,M15*$N$9))</f>
        <v/>
      </c>
      <c r="P15" s="158"/>
      <c r="Q15" s="155"/>
      <c r="R15" s="155"/>
    </row>
    <row r="16" spans="1:20" ht="38.25" customHeight="1">
      <c r="A16" s="33" t="s">
        <v>134</v>
      </c>
      <c r="B16" s="126"/>
      <c r="C16" s="168"/>
      <c r="D16" s="168"/>
      <c r="E16" s="168"/>
      <c r="F16" s="168"/>
      <c r="G16" s="161"/>
      <c r="H16" s="165"/>
      <c r="I16" s="165"/>
      <c r="J16" s="158"/>
      <c r="K16" s="126"/>
      <c r="L16" s="126"/>
      <c r="M16" s="31" t="str">
        <f t="shared" si="8"/>
        <v/>
      </c>
      <c r="N16" s="172"/>
      <c r="O16" s="31" t="str">
        <f t="shared" si="9"/>
        <v/>
      </c>
      <c r="P16" s="158"/>
      <c r="Q16" s="155"/>
      <c r="R16" s="155"/>
    </row>
    <row r="17" spans="1:20" ht="38.25" customHeight="1">
      <c r="A17" s="33" t="s">
        <v>135</v>
      </c>
      <c r="B17" s="126"/>
      <c r="C17" s="168"/>
      <c r="D17" s="168"/>
      <c r="E17" s="168"/>
      <c r="F17" s="168"/>
      <c r="G17" s="161"/>
      <c r="H17" s="165"/>
      <c r="I17" s="165"/>
      <c r="J17" s="158"/>
      <c r="K17" s="126"/>
      <c r="L17" s="126"/>
      <c r="M17" s="31" t="str">
        <f t="shared" si="8"/>
        <v/>
      </c>
      <c r="N17" s="172"/>
      <c r="O17" s="31" t="str">
        <f t="shared" si="9"/>
        <v/>
      </c>
      <c r="P17" s="158"/>
      <c r="Q17" s="155"/>
      <c r="R17" s="155"/>
    </row>
    <row r="18" spans="1:20" ht="38.25" customHeight="1">
      <c r="A18" s="32" t="s">
        <v>136</v>
      </c>
      <c r="B18" s="128"/>
      <c r="C18" s="169"/>
      <c r="D18" s="169"/>
      <c r="E18" s="169"/>
      <c r="F18" s="169"/>
      <c r="G18" s="161"/>
      <c r="H18" s="166"/>
      <c r="I18" s="166"/>
      <c r="J18" s="159"/>
      <c r="K18" s="34"/>
      <c r="L18" s="128"/>
      <c r="M18" s="41" t="str">
        <f t="shared" ref="M18:M19" si="10">IF(L18="","",L18)</f>
        <v/>
      </c>
      <c r="N18" s="172"/>
      <c r="O18" s="41" t="str">
        <f t="shared" ref="O18:O19" si="11">IF(M18="","",M18*$N$9)</f>
        <v/>
      </c>
      <c r="P18" s="159"/>
      <c r="Q18" s="156"/>
      <c r="R18" s="156"/>
    </row>
    <row r="19" spans="1:20" ht="38.25" customHeight="1">
      <c r="A19" s="35" t="s">
        <v>19</v>
      </c>
      <c r="B19" s="123"/>
      <c r="C19" s="124"/>
      <c r="D19" s="125"/>
      <c r="E19" s="129"/>
      <c r="F19" s="129"/>
      <c r="G19" s="161"/>
      <c r="H19" s="164"/>
      <c r="I19" s="164"/>
      <c r="J19" s="157" t="str">
        <f t="shared" ref="J19" si="12">IF(H19="","",H19-I19)</f>
        <v/>
      </c>
      <c r="K19" s="36"/>
      <c r="L19" s="123"/>
      <c r="M19" s="24" t="str">
        <f t="shared" si="10"/>
        <v/>
      </c>
      <c r="N19" s="172"/>
      <c r="O19" s="24" t="str">
        <f t="shared" si="11"/>
        <v/>
      </c>
      <c r="P19" s="157" t="str">
        <f t="shared" ref="P19" si="13">IF(L19="","",ROUNDDOWN(SUM(O19:O23),-3))</f>
        <v/>
      </c>
      <c r="Q19" s="154" t="str">
        <f t="shared" ref="Q19" si="14">IF(P19="","",IF(E19="",0,IF(E19="職員数により合計金額が変動しない",IF(F19="5事業所以上とデータ連携を実施",2550000,2500000),IF(F19="5事業所以上とデータ連携を実施",IF($G$9&lt;=10,1050000,IF($G$9&lt;=20,1550000,IF($G$9&lt;=30,2050000,2550000))),IF($G$9&lt;=10,1000000,IF($G$9&lt;=20,1500000,IF($G$9&lt;=30,2000000,2500000)))))))</f>
        <v/>
      </c>
      <c r="R19" s="154" t="str">
        <f t="shared" ref="R19" si="15">IF(Q19="","",ROUNDDOWN(MIN(J19,P19,Q19),-3))</f>
        <v/>
      </c>
      <c r="S19" s="9" t="str">
        <f>CONCATENATE(A19,D19)</f>
        <v>介護ソフト</v>
      </c>
      <c r="T19" s="9" t="str">
        <f>IF(D19="","",IF(S19="","",COUNTIF($S$9:$S$23,S19)))</f>
        <v/>
      </c>
    </row>
    <row r="20" spans="1:20" ht="38.25" customHeight="1">
      <c r="A20" s="33" t="s">
        <v>133</v>
      </c>
      <c r="B20" s="126"/>
      <c r="C20" s="167"/>
      <c r="D20" s="167"/>
      <c r="E20" s="167"/>
      <c r="F20" s="167"/>
      <c r="G20" s="161"/>
      <c r="H20" s="165"/>
      <c r="I20" s="165"/>
      <c r="J20" s="158"/>
      <c r="K20" s="126"/>
      <c r="L20" s="126"/>
      <c r="M20" s="31" t="str">
        <f t="shared" ref="M20" si="16">IF(K20="","",K20*L20)</f>
        <v/>
      </c>
      <c r="N20" s="172"/>
      <c r="O20" s="31" t="str">
        <f t="shared" ref="O20" si="17">IF(M20="","",IF(L20*$N$9&gt;100000,100000*K20,M20*$N$9))</f>
        <v/>
      </c>
      <c r="P20" s="158"/>
      <c r="Q20" s="155"/>
      <c r="R20" s="155"/>
    </row>
    <row r="21" spans="1:20" ht="38.25" customHeight="1">
      <c r="A21" s="33" t="s">
        <v>134</v>
      </c>
      <c r="B21" s="126"/>
      <c r="C21" s="168"/>
      <c r="D21" s="168"/>
      <c r="E21" s="168"/>
      <c r="F21" s="168"/>
      <c r="G21" s="161"/>
      <c r="H21" s="165"/>
      <c r="I21" s="165"/>
      <c r="J21" s="158"/>
      <c r="K21" s="126"/>
      <c r="L21" s="126"/>
      <c r="M21" s="31" t="str">
        <f t="shared" si="8"/>
        <v/>
      </c>
      <c r="N21" s="172"/>
      <c r="O21" s="31" t="str">
        <f t="shared" si="9"/>
        <v/>
      </c>
      <c r="P21" s="158"/>
      <c r="Q21" s="155"/>
      <c r="R21" s="155"/>
    </row>
    <row r="22" spans="1:20" ht="38.25" customHeight="1">
      <c r="A22" s="33" t="s">
        <v>135</v>
      </c>
      <c r="B22" s="126"/>
      <c r="C22" s="168"/>
      <c r="D22" s="168"/>
      <c r="E22" s="168"/>
      <c r="F22" s="168"/>
      <c r="G22" s="161"/>
      <c r="H22" s="165"/>
      <c r="I22" s="165"/>
      <c r="J22" s="158"/>
      <c r="K22" s="126"/>
      <c r="L22" s="126"/>
      <c r="M22" s="31" t="str">
        <f t="shared" si="8"/>
        <v/>
      </c>
      <c r="N22" s="172"/>
      <c r="O22" s="31" t="str">
        <f t="shared" si="9"/>
        <v/>
      </c>
      <c r="P22" s="158"/>
      <c r="Q22" s="155"/>
      <c r="R22" s="155"/>
    </row>
    <row r="23" spans="1:20" ht="38.25" customHeight="1">
      <c r="A23" s="32" t="s">
        <v>136</v>
      </c>
      <c r="B23" s="128"/>
      <c r="C23" s="169"/>
      <c r="D23" s="169"/>
      <c r="E23" s="169"/>
      <c r="F23" s="169"/>
      <c r="G23" s="162"/>
      <c r="H23" s="166"/>
      <c r="I23" s="166"/>
      <c r="J23" s="159"/>
      <c r="K23" s="34"/>
      <c r="L23" s="128"/>
      <c r="M23" s="41" t="str">
        <f t="shared" ref="M23" si="18">IF(L23="","",L23)</f>
        <v/>
      </c>
      <c r="N23" s="173"/>
      <c r="O23" s="41" t="str">
        <f t="shared" ref="O23" si="19">IF(M23="","",M23*$N$9)</f>
        <v/>
      </c>
      <c r="P23" s="159"/>
      <c r="Q23" s="156"/>
      <c r="R23" s="156"/>
    </row>
    <row r="24" spans="1:20">
      <c r="A24" s="39"/>
      <c r="B24" s="39"/>
      <c r="C24" s="39"/>
      <c r="D24" s="39"/>
      <c r="E24" s="39"/>
      <c r="F24" s="39"/>
      <c r="G24" s="38" t="s">
        <v>16</v>
      </c>
      <c r="H24" s="16">
        <f t="shared" ref="H24:J24" si="20">SUM(H9:H23)</f>
        <v>0</v>
      </c>
      <c r="I24" s="16">
        <f t="shared" si="20"/>
        <v>0</v>
      </c>
      <c r="J24" s="16">
        <f t="shared" si="20"/>
        <v>0</v>
      </c>
      <c r="K24" s="16"/>
      <c r="L24" s="16"/>
      <c r="M24" s="16">
        <f t="shared" ref="M24:P24" si="21">SUM(M9:M23)</f>
        <v>0</v>
      </c>
      <c r="N24" s="19"/>
      <c r="O24" s="16">
        <f t="shared" ref="O24" si="22">SUM(O9:O23)</f>
        <v>0</v>
      </c>
      <c r="P24" s="16">
        <f t="shared" si="21"/>
        <v>0</v>
      </c>
      <c r="Q24" s="16">
        <f t="shared" ref="Q24" si="23">SUM(Q9:Q23)</f>
        <v>0</v>
      </c>
      <c r="R24" s="16">
        <f>SUM(R9:R23)</f>
        <v>0</v>
      </c>
      <c r="T24" s="9">
        <f>SUM(T9:T23)</f>
        <v>0</v>
      </c>
    </row>
    <row r="25" spans="1:20" ht="37.65" customHeight="1">
      <c r="A25" s="29" t="str">
        <f>IF(T24&gt;3,"！同一の使用目的で補助できる機種は1種類限りです！","")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9e7Ib9+UwbYuevhVDKFqvFROFz19Nitk3p4V/hPR3cfXS7ho0I+ntU2/StE8Xzw+bTavD+M71H5uR51p7/Or5g==" saltValue="YlbAvU1wGD4lJvx4gPhxeQ==" spinCount="100000" sheet="1" objects="1" scenarios="1"/>
  <mergeCells count="37">
    <mergeCell ref="R14:R18"/>
    <mergeCell ref="P19:P23"/>
    <mergeCell ref="F10:F13"/>
    <mergeCell ref="Q19:Q23"/>
    <mergeCell ref="R19:R23"/>
    <mergeCell ref="P14:P18"/>
    <mergeCell ref="Q14:Q18"/>
    <mergeCell ref="G9:G23"/>
    <mergeCell ref="P9:P13"/>
    <mergeCell ref="N9:N23"/>
    <mergeCell ref="Q9:Q13"/>
    <mergeCell ref="R9:R13"/>
    <mergeCell ref="H19:H23"/>
    <mergeCell ref="I19:I23"/>
    <mergeCell ref="J19:J23"/>
    <mergeCell ref="H9:H13"/>
    <mergeCell ref="P1:R1"/>
    <mergeCell ref="P2:R2"/>
    <mergeCell ref="P3:R3"/>
    <mergeCell ref="P4:R4"/>
    <mergeCell ref="P5:R5"/>
    <mergeCell ref="C10:C13"/>
    <mergeCell ref="C15:C18"/>
    <mergeCell ref="C20:C23"/>
    <mergeCell ref="I9:I13"/>
    <mergeCell ref="J9:J13"/>
    <mergeCell ref="H14:H18"/>
    <mergeCell ref="I14:I18"/>
    <mergeCell ref="J14:J18"/>
    <mergeCell ref="E10:E13"/>
    <mergeCell ref="D10:D13"/>
    <mergeCell ref="F20:F23"/>
    <mergeCell ref="E20:E23"/>
    <mergeCell ref="D20:D23"/>
    <mergeCell ref="D15:D18"/>
    <mergeCell ref="E15:E18"/>
    <mergeCell ref="F15:F18"/>
  </mergeCells>
  <phoneticPr fontId="1"/>
  <conditionalFormatting sqref="M9:N9 M13:N13 M14 N14:N23 M18:M19 M23">
    <cfRule type="expression" dxfId="6" priority="1">
      <formula>$M9="台数上限を超えています"</formula>
    </cfRule>
  </conditionalFormatting>
  <dataValidations disablePrompts="1" xWindow="408" yWindow="523" count="5">
    <dataValidation type="list" allowBlank="1" showInputMessage="1" sqref="A9:A23" xr:uid="{FC831DB2-0A72-4853-954A-E261AF86E18E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E9 E14 E19" xr:uid="{619D3970-DBE8-443D-A758-F60A33C95202}">
      <formula1>"職員数により合計金額が変動する,職員数により合計金額が変動しない"</formula1>
    </dataValidation>
    <dataValidation type="list" allowBlank="1" showInputMessage="1" showErrorMessage="1" sqref="F9 F14 F19" xr:uid="{15CE8A93-70A3-4222-99DF-3505F8E6B617}">
      <formula1>"5事業所以上とデータ連携を実施,,"</formula1>
    </dataValidation>
    <dataValidation allowBlank="1" showInputMessage="1" showErrorMessage="1" prompt="情報端末の1台あたりの金額に補助率3/4を乗じて10万円を超える場合、10万円までが補助対象額となります。" sqref="L10:L12 L15:L17 L20:L22" xr:uid="{ED2B7665-3CCC-43C5-A6C6-3CF344483947}"/>
    <dataValidation type="list" allowBlank="1" showInputMessage="1" showErrorMessage="1" sqref="C9 C14 C19" xr:uid="{28C74972-9874-4471-ABEC-D52D5BC49B6A}">
      <formula1>"有,無"</formula1>
    </dataValidation>
  </dataValidations>
  <hyperlinks>
    <hyperlink ref="A6" location="事前設定シート!A1" display="事前設定シートへ戻る" xr:uid="{934FB993-DC61-4BE1-8738-8795A34C65CC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xWindow="408" yWindow="523" count="2">
        <x14:dataValidation type="list" allowBlank="1" showInputMessage="1" prompt="その他を選択した場合は、（）内に具体的な使用目的を記載してください。" xr:uid="{65B8FDED-A46F-492F-AC28-2CD2DFC3310E}">
          <x14:formula1>
            <xm:f>データリスト!$C$3:$C$10</xm:f>
          </x14:formula1>
          <xm:sqref>D9 D14 D19</xm:sqref>
        </x14:dataValidation>
        <x14:dataValidation type="list" allowBlank="1" showInputMessage="1" showErrorMessage="1" xr:uid="{9FE98F0B-8A7D-43BB-8D6A-C8DF0DFBD950}">
          <x14:formula1>
            <xm:f>データリスト!$A$2:$A$53</xm:f>
          </x14:formula1>
          <xm:sqref>P4:R4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FDB1-4AA1-4FD2-A07F-1AD9092006A2}">
  <sheetPr codeName="Sheet6"/>
  <dimension ref="A1:T29"/>
  <sheetViews>
    <sheetView view="pageBreakPreview" zoomScale="70" zoomScaleNormal="70" zoomScaleSheetLayoutView="70" workbookViewId="0">
      <selection activeCell="E27" sqref="E27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22.33203125" style="9" customWidth="1"/>
    <col min="7" max="7" width="6.83203125" style="9" bestFit="1" customWidth="1"/>
    <col min="8" max="10" width="13.58203125" style="9" customWidth="1"/>
    <col min="11" max="11" width="8.58203125" style="9" bestFit="1" customWidth="1"/>
    <col min="12" max="12" width="13" style="9" customWidth="1"/>
    <col min="13" max="13" width="21.83203125" style="9" customWidth="1"/>
    <col min="14" max="14" width="6.83203125" style="9" bestFit="1" customWidth="1"/>
    <col min="15" max="15" width="13.58203125" style="9" customWidth="1"/>
    <col min="16" max="16" width="13.6640625" style="9" customWidth="1"/>
    <col min="17" max="17" width="13" style="9" customWidth="1"/>
    <col min="18" max="18" width="13.83203125" style="9" bestFit="1" customWidth="1"/>
    <col min="19" max="19" width="36.6640625" style="9" customWidth="1"/>
    <col min="20" max="20" width="5.6640625" style="9" customWidth="1"/>
    <col min="21" max="16384" width="8.83203125" style="9"/>
  </cols>
  <sheetData>
    <row r="1" spans="1:20">
      <c r="A1" s="9" t="s">
        <v>27</v>
      </c>
      <c r="N1" s="12"/>
      <c r="O1" s="12" t="s">
        <v>30</v>
      </c>
      <c r="P1" s="180"/>
      <c r="Q1" s="180"/>
      <c r="R1" s="180"/>
    </row>
    <row r="2" spans="1:20">
      <c r="A2" s="9" t="s">
        <v>2</v>
      </c>
      <c r="N2" s="12"/>
      <c r="O2" s="12" t="s">
        <v>31</v>
      </c>
      <c r="P2" s="181"/>
      <c r="Q2" s="181"/>
      <c r="R2" s="181"/>
    </row>
    <row r="3" spans="1:20">
      <c r="N3" s="12"/>
      <c r="O3" s="12" t="s">
        <v>32</v>
      </c>
      <c r="P3" s="181"/>
      <c r="Q3" s="181"/>
      <c r="R3" s="181"/>
    </row>
    <row r="4" spans="1:20">
      <c r="A4" s="10" t="s">
        <v>177</v>
      </c>
      <c r="B4" s="10"/>
      <c r="C4" s="11"/>
      <c r="E4" s="11"/>
      <c r="F4" s="11"/>
      <c r="N4" s="12"/>
      <c r="O4" s="12" t="s">
        <v>33</v>
      </c>
      <c r="P4" s="182"/>
      <c r="Q4" s="182"/>
      <c r="R4" s="182"/>
    </row>
    <row r="5" spans="1:20">
      <c r="N5" s="12"/>
      <c r="O5" s="12" t="s">
        <v>34</v>
      </c>
      <c r="P5" s="181"/>
      <c r="Q5" s="181"/>
      <c r="R5" s="181"/>
    </row>
    <row r="6" spans="1:20" ht="40" customHeight="1">
      <c r="C6" s="109" t="str">
        <f>IF(COUNTIF(C9:C23,"無")&gt;0,"TAISに掲載されていない機器を導入する場合、別紙１－４を提出。","")</f>
        <v/>
      </c>
      <c r="H6" s="58" t="s">
        <v>144</v>
      </c>
      <c r="I6" s="58" t="s">
        <v>145</v>
      </c>
      <c r="J6" s="58" t="s">
        <v>146</v>
      </c>
      <c r="K6" s="58" t="s">
        <v>147</v>
      </c>
      <c r="L6" s="58" t="s">
        <v>148</v>
      </c>
      <c r="M6" s="58" t="s">
        <v>149</v>
      </c>
      <c r="N6" s="58"/>
      <c r="O6" s="58" t="s">
        <v>150</v>
      </c>
      <c r="P6" s="58" t="s">
        <v>165</v>
      </c>
      <c r="Q6" s="58" t="s">
        <v>152</v>
      </c>
      <c r="R6" s="49" t="s">
        <v>162</v>
      </c>
      <c r="S6" s="49"/>
    </row>
    <row r="7" spans="1:20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140</v>
      </c>
      <c r="G7" s="92" t="s">
        <v>20</v>
      </c>
      <c r="H7" s="92" t="s">
        <v>143</v>
      </c>
      <c r="I7" s="92" t="s">
        <v>130</v>
      </c>
      <c r="J7" s="92" t="s">
        <v>131</v>
      </c>
      <c r="K7" s="92" t="s">
        <v>11</v>
      </c>
      <c r="L7" s="92" t="s">
        <v>137</v>
      </c>
      <c r="M7" s="92" t="s">
        <v>10</v>
      </c>
      <c r="N7" s="92" t="s">
        <v>12</v>
      </c>
      <c r="O7" s="92" t="s">
        <v>160</v>
      </c>
      <c r="P7" s="92" t="s">
        <v>161</v>
      </c>
      <c r="Q7" s="92" t="s">
        <v>129</v>
      </c>
      <c r="R7" s="92" t="s">
        <v>180</v>
      </c>
    </row>
    <row r="8" spans="1:20" s="4" customFormat="1" ht="18" customHeight="1">
      <c r="A8" s="99"/>
      <c r="B8" s="99"/>
      <c r="C8" s="96"/>
      <c r="D8" s="99"/>
      <c r="E8" s="99"/>
      <c r="F8" s="99"/>
      <c r="G8" s="99" t="s">
        <v>210</v>
      </c>
      <c r="H8" s="99" t="s">
        <v>211</v>
      </c>
      <c r="I8" s="99" t="s">
        <v>211</v>
      </c>
      <c r="J8" s="99" t="s">
        <v>211</v>
      </c>
      <c r="K8" s="99" t="s">
        <v>212</v>
      </c>
      <c r="L8" s="99" t="s">
        <v>211</v>
      </c>
      <c r="M8" s="99" t="s">
        <v>211</v>
      </c>
      <c r="N8" s="99"/>
      <c r="O8" s="99" t="s">
        <v>211</v>
      </c>
      <c r="P8" s="99" t="s">
        <v>211</v>
      </c>
      <c r="Q8" s="99" t="s">
        <v>211</v>
      </c>
      <c r="R8" s="99" t="s">
        <v>211</v>
      </c>
    </row>
    <row r="9" spans="1:20" ht="38.25" customHeight="1">
      <c r="A9" s="35" t="s">
        <v>19</v>
      </c>
      <c r="B9" s="62" t="s">
        <v>193</v>
      </c>
      <c r="C9" s="113" t="s">
        <v>183</v>
      </c>
      <c r="D9" s="63" t="s">
        <v>122</v>
      </c>
      <c r="E9" s="67" t="s">
        <v>194</v>
      </c>
      <c r="F9" s="67" t="s">
        <v>139</v>
      </c>
      <c r="G9" s="186">
        <v>31</v>
      </c>
      <c r="H9" s="177">
        <v>4400000</v>
      </c>
      <c r="I9" s="177">
        <v>0</v>
      </c>
      <c r="J9" s="157">
        <f>IF(H9="","",H9-I9)</f>
        <v>4400000</v>
      </c>
      <c r="K9" s="36"/>
      <c r="L9" s="62">
        <v>1000000</v>
      </c>
      <c r="M9" s="24">
        <f>IF(L9="","",L9)</f>
        <v>1000000</v>
      </c>
      <c r="N9" s="171">
        <v>0.75</v>
      </c>
      <c r="O9" s="24">
        <f>IF(M9="","",M9*$N$9)</f>
        <v>750000</v>
      </c>
      <c r="P9" s="157">
        <f>IF(L9="","",ROUNDDOWN(SUM(O9:O13),-3))</f>
        <v>3050000</v>
      </c>
      <c r="Q9" s="154">
        <f>IF(P9="","",IF(E9="",0,IF(E9="職員数により合計金額が変動しない",IF(F9="5事業所以上とデータ連携を実施",2550000,2500000),IF(F9="5事業所以上とデータ連携を実施",IF($G$9&lt;=10,1050000,IF($G$9&lt;=20,1550000,IF($G$9&lt;=30,2050000,2550000))),IF($G$9&lt;=10,1000000,IF($G$9&lt;=20,1500000,IF($G$9&lt;=30,2000000,2500000)))))))</f>
        <v>2550000</v>
      </c>
      <c r="R9" s="154">
        <f>IF(Q9="","",ROUNDDOWN(MIN(J9,P9,Q9),-3))</f>
        <v>2550000</v>
      </c>
      <c r="S9" s="9" t="str">
        <f>CONCATENATE(A9,D9)</f>
        <v>介護ソフト記録業務に要する時間の短縮</v>
      </c>
      <c r="T9" s="9">
        <f>IF(D9="","",IF(S9="","",COUNTIF($S$9:$S$23,S9)))</f>
        <v>1</v>
      </c>
    </row>
    <row r="10" spans="1:20" ht="38.25" customHeight="1">
      <c r="A10" s="33" t="s">
        <v>133</v>
      </c>
      <c r="B10" s="64" t="s">
        <v>184</v>
      </c>
      <c r="C10" s="167"/>
      <c r="D10" s="167"/>
      <c r="E10" s="167"/>
      <c r="F10" s="167"/>
      <c r="G10" s="184"/>
      <c r="H10" s="178"/>
      <c r="I10" s="178"/>
      <c r="J10" s="158"/>
      <c r="K10" s="64">
        <v>5</v>
      </c>
      <c r="L10" s="64">
        <v>100000</v>
      </c>
      <c r="M10" s="31">
        <f>IF(K10="","",K10*L10)</f>
        <v>500000</v>
      </c>
      <c r="N10" s="172"/>
      <c r="O10" s="31">
        <f>IF(M10="","",IF(L10*$N$9&gt;100000,100000*K10,M10*$N$9))</f>
        <v>375000</v>
      </c>
      <c r="P10" s="158"/>
      <c r="Q10" s="155"/>
      <c r="R10" s="155"/>
    </row>
    <row r="11" spans="1:20" ht="38.25" customHeight="1">
      <c r="A11" s="33" t="s">
        <v>134</v>
      </c>
      <c r="B11" s="64" t="s">
        <v>185</v>
      </c>
      <c r="C11" s="168"/>
      <c r="D11" s="168"/>
      <c r="E11" s="168"/>
      <c r="F11" s="168"/>
      <c r="G11" s="184"/>
      <c r="H11" s="178"/>
      <c r="I11" s="178"/>
      <c r="J11" s="158"/>
      <c r="K11" s="64">
        <v>5</v>
      </c>
      <c r="L11" s="64">
        <v>80000</v>
      </c>
      <c r="M11" s="31">
        <f t="shared" ref="M11:M12" si="0">IF(K11="","",K11*L11)</f>
        <v>400000</v>
      </c>
      <c r="N11" s="172"/>
      <c r="O11" s="31">
        <f t="shared" ref="O11:O12" si="1">IF(M11="","",IF(L11*$N$9&gt;100000,100000*K11,M11*$N$9))</f>
        <v>300000</v>
      </c>
      <c r="P11" s="158"/>
      <c r="Q11" s="155"/>
      <c r="R11" s="155"/>
    </row>
    <row r="12" spans="1:20" ht="38.25" customHeight="1">
      <c r="A12" s="33" t="s">
        <v>135</v>
      </c>
      <c r="B12" s="64" t="s">
        <v>186</v>
      </c>
      <c r="C12" s="168"/>
      <c r="D12" s="168"/>
      <c r="E12" s="168"/>
      <c r="F12" s="168"/>
      <c r="G12" s="184"/>
      <c r="H12" s="178"/>
      <c r="I12" s="178"/>
      <c r="J12" s="158"/>
      <c r="K12" s="64">
        <v>5</v>
      </c>
      <c r="L12" s="64">
        <v>200000</v>
      </c>
      <c r="M12" s="31">
        <f t="shared" si="0"/>
        <v>1000000</v>
      </c>
      <c r="N12" s="172"/>
      <c r="O12" s="31">
        <f t="shared" si="1"/>
        <v>500000</v>
      </c>
      <c r="P12" s="158"/>
      <c r="Q12" s="155"/>
      <c r="R12" s="155"/>
    </row>
    <row r="13" spans="1:20" ht="38.25" customHeight="1">
      <c r="A13" s="32" t="s">
        <v>136</v>
      </c>
      <c r="B13" s="65" t="s">
        <v>187</v>
      </c>
      <c r="C13" s="169"/>
      <c r="D13" s="169"/>
      <c r="E13" s="169"/>
      <c r="F13" s="169"/>
      <c r="G13" s="184"/>
      <c r="H13" s="179"/>
      <c r="I13" s="179"/>
      <c r="J13" s="159"/>
      <c r="K13" s="34"/>
      <c r="L13" s="65">
        <v>1500000</v>
      </c>
      <c r="M13" s="55">
        <f>IF(L13="","",L13)</f>
        <v>1500000</v>
      </c>
      <c r="N13" s="172"/>
      <c r="O13" s="55">
        <f>IF(M13="","",M13*$N$9)</f>
        <v>1125000</v>
      </c>
      <c r="P13" s="159"/>
      <c r="Q13" s="156"/>
      <c r="R13" s="156"/>
    </row>
    <row r="14" spans="1:20" ht="38.25" customHeight="1">
      <c r="A14" s="35" t="s">
        <v>19</v>
      </c>
      <c r="B14" s="20"/>
      <c r="C14" s="108"/>
      <c r="D14" s="21"/>
      <c r="E14" s="37"/>
      <c r="F14" s="37"/>
      <c r="G14" s="184"/>
      <c r="H14" s="177"/>
      <c r="I14" s="177"/>
      <c r="J14" s="157" t="str">
        <f t="shared" ref="J14" si="2">IF(H14="","",H14-I14)</f>
        <v/>
      </c>
      <c r="K14" s="36"/>
      <c r="L14" s="20"/>
      <c r="M14" s="24" t="str">
        <f t="shared" ref="M14" si="3">IF(L14="","",L14)</f>
        <v/>
      </c>
      <c r="N14" s="172"/>
      <c r="O14" s="24" t="str">
        <f t="shared" ref="O14" si="4">IF(M14="","",M14*$N$9)</f>
        <v/>
      </c>
      <c r="P14" s="157" t="str">
        <f t="shared" ref="P14" si="5">IF(L14="","",ROUNDDOWN(SUM(O14:O18),-3))</f>
        <v/>
      </c>
      <c r="Q14" s="154" t="str">
        <f t="shared" ref="Q14" si="6">IF(P14="","",IF(E14="",0,IF(E14="職員数により合計金額が変動しない",IF(F14="5事業所以上とデータ連携を実施",2550000,2500000),IF(F14="5事業所以上とデータ連携を実施",IF($G$9&lt;=10,1050000,IF($G$9&lt;=20,1550000,IF($G$9&lt;=30,2050000,2550000))),IF($G$9&lt;=10,1000000,IF($G$9&lt;=20,1500000,IF($G$9&lt;=30,2000000,2500000)))))))</f>
        <v/>
      </c>
      <c r="R14" s="154" t="str">
        <f t="shared" ref="R14" si="7">IF(Q14="","",ROUNDDOWN(MIN(J14,P14,Q14),-3))</f>
        <v/>
      </c>
      <c r="S14" s="9" t="str">
        <f>CONCATENATE(A14,D14)</f>
        <v>介護ソフト</v>
      </c>
      <c r="T14" s="9" t="str">
        <f>IF(D14="","",IF(S14="","",COUNTIF($S$9:$S$23,S14)))</f>
        <v/>
      </c>
    </row>
    <row r="15" spans="1:20" ht="38.25" customHeight="1">
      <c r="A15" s="33" t="s">
        <v>133</v>
      </c>
      <c r="B15" s="30"/>
      <c r="C15" s="167"/>
      <c r="D15" s="167"/>
      <c r="E15" s="167"/>
      <c r="F15" s="167"/>
      <c r="G15" s="184"/>
      <c r="H15" s="178"/>
      <c r="I15" s="178"/>
      <c r="J15" s="158"/>
      <c r="K15" s="30"/>
      <c r="L15" s="30"/>
      <c r="M15" s="31" t="str">
        <f t="shared" ref="M15:M22" si="8">IF(K15="","",K15*L15)</f>
        <v/>
      </c>
      <c r="N15" s="172"/>
      <c r="O15" s="31" t="str">
        <f t="shared" ref="O15:O22" si="9">IF(M15="","",IF(L15*$N$9&gt;100000,100000*K15,M15*$N$9))</f>
        <v/>
      </c>
      <c r="P15" s="158"/>
      <c r="Q15" s="155"/>
      <c r="R15" s="155"/>
    </row>
    <row r="16" spans="1:20" ht="38.25" customHeight="1">
      <c r="A16" s="33" t="s">
        <v>134</v>
      </c>
      <c r="B16" s="30"/>
      <c r="C16" s="168"/>
      <c r="D16" s="168"/>
      <c r="E16" s="168"/>
      <c r="F16" s="168"/>
      <c r="G16" s="184"/>
      <c r="H16" s="178"/>
      <c r="I16" s="178"/>
      <c r="J16" s="158"/>
      <c r="K16" s="30"/>
      <c r="L16" s="30"/>
      <c r="M16" s="31" t="str">
        <f t="shared" si="8"/>
        <v/>
      </c>
      <c r="N16" s="172"/>
      <c r="O16" s="31" t="str">
        <f t="shared" si="9"/>
        <v/>
      </c>
      <c r="P16" s="158"/>
      <c r="Q16" s="155"/>
      <c r="R16" s="155"/>
    </row>
    <row r="17" spans="1:20" ht="38.25" customHeight="1">
      <c r="A17" s="33" t="s">
        <v>135</v>
      </c>
      <c r="B17" s="30"/>
      <c r="C17" s="168"/>
      <c r="D17" s="168"/>
      <c r="E17" s="168"/>
      <c r="F17" s="168"/>
      <c r="G17" s="184"/>
      <c r="H17" s="178"/>
      <c r="I17" s="178"/>
      <c r="J17" s="158"/>
      <c r="K17" s="30"/>
      <c r="L17" s="30"/>
      <c r="M17" s="31" t="str">
        <f t="shared" si="8"/>
        <v/>
      </c>
      <c r="N17" s="172"/>
      <c r="O17" s="31" t="str">
        <f t="shared" si="9"/>
        <v/>
      </c>
      <c r="P17" s="158"/>
      <c r="Q17" s="155"/>
      <c r="R17" s="155"/>
    </row>
    <row r="18" spans="1:20" ht="38.25" customHeight="1">
      <c r="A18" s="32" t="s">
        <v>136</v>
      </c>
      <c r="B18" s="57"/>
      <c r="C18" s="169"/>
      <c r="D18" s="169"/>
      <c r="E18" s="169"/>
      <c r="F18" s="169"/>
      <c r="G18" s="184"/>
      <c r="H18" s="179"/>
      <c r="I18" s="179"/>
      <c r="J18" s="159"/>
      <c r="K18" s="34"/>
      <c r="L18" s="57"/>
      <c r="M18" s="55" t="str">
        <f t="shared" ref="M18:M19" si="10">IF(L18="","",L18)</f>
        <v/>
      </c>
      <c r="N18" s="172"/>
      <c r="O18" s="55" t="str">
        <f t="shared" ref="O18:O19" si="11">IF(M18="","",M18*$N$9)</f>
        <v/>
      </c>
      <c r="P18" s="159"/>
      <c r="Q18" s="156"/>
      <c r="R18" s="156"/>
    </row>
    <row r="19" spans="1:20" ht="38.25" customHeight="1">
      <c r="A19" s="35" t="s">
        <v>19</v>
      </c>
      <c r="B19" s="20"/>
      <c r="C19" s="108"/>
      <c r="D19" s="21"/>
      <c r="E19" s="37"/>
      <c r="F19" s="37"/>
      <c r="G19" s="184"/>
      <c r="H19" s="177"/>
      <c r="I19" s="177"/>
      <c r="J19" s="157" t="str">
        <f t="shared" ref="J19" si="12">IF(H19="","",H19-I19)</f>
        <v/>
      </c>
      <c r="K19" s="36"/>
      <c r="L19" s="20"/>
      <c r="M19" s="24" t="str">
        <f t="shared" si="10"/>
        <v/>
      </c>
      <c r="N19" s="172"/>
      <c r="O19" s="24" t="str">
        <f t="shared" si="11"/>
        <v/>
      </c>
      <c r="P19" s="157" t="str">
        <f t="shared" ref="P19" si="13">IF(L19="","",ROUNDDOWN(SUM(O19:O23),-3))</f>
        <v/>
      </c>
      <c r="Q19" s="154" t="str">
        <f t="shared" ref="Q19" si="14">IF(P19="","",IF(E19="",0,IF(E19="職員数により合計金額が変動しない",IF(F19="5事業所以上とデータ連携を実施",2550000,2500000),IF(F19="5事業所以上とデータ連携を実施",IF($G$9&lt;=10,1050000,IF($G$9&lt;=20,1550000,IF($G$9&lt;=30,2050000,2550000))),IF($G$9&lt;=10,1000000,IF($G$9&lt;=20,1500000,IF($G$9&lt;=30,2000000,2500000)))))))</f>
        <v/>
      </c>
      <c r="R19" s="154" t="str">
        <f t="shared" ref="R19" si="15">IF(Q19="","",ROUNDDOWN(MIN(J19,P19,Q19),-3))</f>
        <v/>
      </c>
      <c r="S19" s="9" t="str">
        <f>CONCATENATE(A19,D19)</f>
        <v>介護ソフト</v>
      </c>
      <c r="T19" s="9" t="str">
        <f>IF(D19="","",IF(S19="","",COUNTIF($S$9:$S$23,S19)))</f>
        <v/>
      </c>
    </row>
    <row r="20" spans="1:20" ht="38.25" customHeight="1">
      <c r="A20" s="33" t="s">
        <v>133</v>
      </c>
      <c r="B20" s="30"/>
      <c r="C20" s="167"/>
      <c r="D20" s="167"/>
      <c r="E20" s="167"/>
      <c r="F20" s="167"/>
      <c r="G20" s="184"/>
      <c r="H20" s="178"/>
      <c r="I20" s="178"/>
      <c r="J20" s="158"/>
      <c r="K20" s="30"/>
      <c r="L20" s="30"/>
      <c r="M20" s="31" t="str">
        <f t="shared" ref="M20" si="16">IF(K20="","",K20*L20)</f>
        <v/>
      </c>
      <c r="N20" s="172"/>
      <c r="O20" s="31" t="str">
        <f t="shared" ref="O20" si="17">IF(M20="","",IF(L20*$N$9&gt;100000,100000*K20,M20*$N$9))</f>
        <v/>
      </c>
      <c r="P20" s="158"/>
      <c r="Q20" s="155"/>
      <c r="R20" s="155"/>
    </row>
    <row r="21" spans="1:20" ht="38.25" customHeight="1">
      <c r="A21" s="33" t="s">
        <v>134</v>
      </c>
      <c r="B21" s="30"/>
      <c r="C21" s="168"/>
      <c r="D21" s="168"/>
      <c r="E21" s="168"/>
      <c r="F21" s="168"/>
      <c r="G21" s="184"/>
      <c r="H21" s="178"/>
      <c r="I21" s="178"/>
      <c r="J21" s="158"/>
      <c r="K21" s="30"/>
      <c r="L21" s="30"/>
      <c r="M21" s="31" t="str">
        <f t="shared" si="8"/>
        <v/>
      </c>
      <c r="N21" s="172"/>
      <c r="O21" s="31" t="str">
        <f t="shared" si="9"/>
        <v/>
      </c>
      <c r="P21" s="158"/>
      <c r="Q21" s="155"/>
      <c r="R21" s="155"/>
    </row>
    <row r="22" spans="1:20" ht="38.25" customHeight="1">
      <c r="A22" s="33" t="s">
        <v>135</v>
      </c>
      <c r="B22" s="30"/>
      <c r="C22" s="168"/>
      <c r="D22" s="168"/>
      <c r="E22" s="168"/>
      <c r="F22" s="168"/>
      <c r="G22" s="184"/>
      <c r="H22" s="178"/>
      <c r="I22" s="178"/>
      <c r="J22" s="158"/>
      <c r="K22" s="30"/>
      <c r="L22" s="30"/>
      <c r="M22" s="31" t="str">
        <f t="shared" si="8"/>
        <v/>
      </c>
      <c r="N22" s="172"/>
      <c r="O22" s="31" t="str">
        <f t="shared" si="9"/>
        <v/>
      </c>
      <c r="P22" s="158"/>
      <c r="Q22" s="155"/>
      <c r="R22" s="155"/>
    </row>
    <row r="23" spans="1:20" ht="38.25" customHeight="1">
      <c r="A23" s="32" t="s">
        <v>136</v>
      </c>
      <c r="B23" s="57"/>
      <c r="C23" s="169"/>
      <c r="D23" s="169"/>
      <c r="E23" s="169"/>
      <c r="F23" s="169"/>
      <c r="G23" s="185"/>
      <c r="H23" s="179"/>
      <c r="I23" s="179"/>
      <c r="J23" s="159"/>
      <c r="K23" s="34"/>
      <c r="L23" s="57"/>
      <c r="M23" s="55" t="str">
        <f t="shared" ref="M23" si="18">IF(L23="","",L23)</f>
        <v/>
      </c>
      <c r="N23" s="173"/>
      <c r="O23" s="55" t="str">
        <f t="shared" ref="O23" si="19">IF(M23="","",M23*$N$9)</f>
        <v/>
      </c>
      <c r="P23" s="159"/>
      <c r="Q23" s="156"/>
      <c r="R23" s="156"/>
    </row>
    <row r="24" spans="1:20">
      <c r="A24" s="39"/>
      <c r="B24" s="39"/>
      <c r="C24" s="39"/>
      <c r="D24" s="39"/>
      <c r="E24" s="39"/>
      <c r="F24" s="39"/>
      <c r="G24" s="38" t="s">
        <v>16</v>
      </c>
      <c r="H24" s="16">
        <f t="shared" ref="H24:J24" si="20">SUM(H9:H23)</f>
        <v>4400000</v>
      </c>
      <c r="I24" s="16">
        <f t="shared" si="20"/>
        <v>0</v>
      </c>
      <c r="J24" s="16">
        <f t="shared" si="20"/>
        <v>4400000</v>
      </c>
      <c r="K24" s="16"/>
      <c r="L24" s="16"/>
      <c r="M24" s="16">
        <f t="shared" ref="M24:Q24" si="21">SUM(M9:M23)</f>
        <v>4400000</v>
      </c>
      <c r="N24" s="19"/>
      <c r="O24" s="16">
        <f t="shared" ref="O24" si="22">SUM(O9:O23)</f>
        <v>3050000</v>
      </c>
      <c r="P24" s="16">
        <f t="shared" si="21"/>
        <v>3050000</v>
      </c>
      <c r="Q24" s="16">
        <f t="shared" si="21"/>
        <v>2550000</v>
      </c>
      <c r="R24" s="16">
        <f>SUM(R9:R23)</f>
        <v>2550000</v>
      </c>
      <c r="T24" s="9">
        <f>SUM(T9:T23)</f>
        <v>1</v>
      </c>
    </row>
    <row r="25" spans="1:20" ht="37.65" customHeight="1">
      <c r="A25" s="29" t="str">
        <f>IF(T24&gt;3,"！同一の使用目的で補助できる機種は1種類限りです！","")</f>
        <v/>
      </c>
    </row>
    <row r="26" spans="1:20" ht="37.65" customHeight="1"/>
    <row r="27" spans="1:20" ht="37.65" customHeight="1"/>
    <row r="28" spans="1:20" ht="37.65" customHeight="1"/>
    <row r="29" spans="1:20" ht="37.65" customHeight="1"/>
  </sheetData>
  <sheetProtection algorithmName="SHA-512" hashValue="RicZEQQkJ7uQNBZXqa/lDeYCo8Gbq4nMRRBuiXNLcmDm+KcTL16xnbKV4dCwiB2Exa2uz6XZ15jcjLwLrjkzsQ==" saltValue="ziSQMCctoZi/MlZ8YF+YJw==" spinCount="100000" sheet="1" objects="1" scenarios="1"/>
  <mergeCells count="37">
    <mergeCell ref="C10:C13"/>
    <mergeCell ref="C15:C18"/>
    <mergeCell ref="C20:C23"/>
    <mergeCell ref="P9:P13"/>
    <mergeCell ref="Q9:Q13"/>
    <mergeCell ref="D15:D18"/>
    <mergeCell ref="E15:E18"/>
    <mergeCell ref="E10:E13"/>
    <mergeCell ref="F10:F13"/>
    <mergeCell ref="N9:N23"/>
    <mergeCell ref="J14:J18"/>
    <mergeCell ref="P14:P18"/>
    <mergeCell ref="Q14:Q18"/>
    <mergeCell ref="Q19:Q23"/>
    <mergeCell ref="P19:P23"/>
    <mergeCell ref="J9:J13"/>
    <mergeCell ref="P1:R1"/>
    <mergeCell ref="P2:R2"/>
    <mergeCell ref="P3:R3"/>
    <mergeCell ref="P4:R4"/>
    <mergeCell ref="P5:R5"/>
    <mergeCell ref="R14:R18"/>
    <mergeCell ref="F15:F18"/>
    <mergeCell ref="D10:D13"/>
    <mergeCell ref="R9:R13"/>
    <mergeCell ref="R19:R23"/>
    <mergeCell ref="D20:D23"/>
    <mergeCell ref="E20:E23"/>
    <mergeCell ref="F20:F23"/>
    <mergeCell ref="J19:J23"/>
    <mergeCell ref="H19:H23"/>
    <mergeCell ref="I19:I23"/>
    <mergeCell ref="G9:G23"/>
    <mergeCell ref="H14:H18"/>
    <mergeCell ref="I14:I18"/>
    <mergeCell ref="H9:H13"/>
    <mergeCell ref="I9:I13"/>
  </mergeCells>
  <phoneticPr fontId="1"/>
  <conditionalFormatting sqref="M9:N9 M13:N13 M14 N14:N23 M18:M19 M23">
    <cfRule type="expression" dxfId="5" priority="1">
      <formula>$M9="台数上限を超えています"</formula>
    </cfRule>
  </conditionalFormatting>
  <dataValidations count="5">
    <dataValidation allowBlank="1" showInputMessage="1" showErrorMessage="1" prompt="情報端末の1台あたりの金額に補助率3/4を乗じて10万円を超える場合、10万円までが補助対象額となります。" sqref="L20:L22 L15:L17 L10:L12" xr:uid="{2A31A389-95F5-4F10-B79C-87A3648C48B9}"/>
    <dataValidation type="list" allowBlank="1" showInputMessage="1" showErrorMessage="1" sqref="F9 F14 F19" xr:uid="{4DF9BD56-0EA5-4A6C-81D1-2857C11F885B}">
      <formula1>"5事業所以上とデータ連携を実施,,"</formula1>
    </dataValidation>
    <dataValidation type="list" allowBlank="1" showInputMessage="1" showErrorMessage="1" sqref="E9 E14 E19" xr:uid="{EAF64DE7-4B0E-48C6-BDF7-0FFC06A7B929}">
      <formula1>"職員数により合計金額が変動する,職員数により合計金額が変動しない"</formula1>
    </dataValidation>
    <dataValidation type="list" allowBlank="1" showInputMessage="1" sqref="A9:A23" xr:uid="{877DDC7A-EB86-4D1E-B27D-D14C32BCE6A6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C9 C14 C19" xr:uid="{AC3308BB-0645-4962-A8C6-300B561533BF}">
      <formula1>"有,無"</formula1>
    </dataValidation>
  </dataValidations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A2F488-B58F-4538-8134-CFF61B8BCD72}">
          <x14:formula1>
            <xm:f>データリスト!$A$2:$A$53</xm:f>
          </x14:formula1>
          <xm:sqref>P4:R4</xm:sqref>
        </x14:dataValidation>
        <x14:dataValidation type="list" allowBlank="1" showInputMessage="1" prompt="その他を選択した場合は、（）内に具体的な使用目的を記載してください。" xr:uid="{37656C8B-232E-42D3-9EAE-38CBFADD617F}">
          <x14:formula1>
            <xm:f>データリスト!$C$3:$C$10</xm:f>
          </x14:formula1>
          <xm:sqref>D9 D14 D19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C599C-E0EE-461C-B610-97C318CE0AF5}">
  <sheetPr codeName="Sheet7"/>
  <dimension ref="A1:S29"/>
  <sheetViews>
    <sheetView view="pageBreakPreview" zoomScale="75" zoomScaleNormal="70" zoomScaleSheetLayoutView="75" workbookViewId="0">
      <selection activeCell="E20" sqref="E20:E23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6.83203125" style="9" bestFit="1" customWidth="1"/>
    <col min="7" max="9" width="13.58203125" style="9" customWidth="1"/>
    <col min="10" max="10" width="8.58203125" style="9" bestFit="1" customWidth="1"/>
    <col min="11" max="11" width="13" style="9" customWidth="1"/>
    <col min="12" max="12" width="21.83203125" style="9" customWidth="1"/>
    <col min="13" max="13" width="6.83203125" style="9" bestFit="1" customWidth="1"/>
    <col min="14" max="14" width="13.58203125" style="9" customWidth="1"/>
    <col min="15" max="15" width="13.6640625" style="9" customWidth="1"/>
    <col min="16" max="16" width="13" style="9" customWidth="1"/>
    <col min="17" max="17" width="13.83203125" style="9" bestFit="1" customWidth="1"/>
    <col min="18" max="18" width="36.6640625" style="9" customWidth="1"/>
    <col min="19" max="19" width="5.6640625" style="9" customWidth="1"/>
    <col min="20" max="16384" width="8.83203125" style="9"/>
  </cols>
  <sheetData>
    <row r="1" spans="1:19">
      <c r="A1" s="9" t="s">
        <v>204</v>
      </c>
      <c r="M1" s="12"/>
      <c r="N1" s="12" t="s">
        <v>30</v>
      </c>
      <c r="O1" s="176"/>
      <c r="P1" s="176"/>
      <c r="Q1" s="176"/>
    </row>
    <row r="2" spans="1:19">
      <c r="A2" s="9" t="s">
        <v>2</v>
      </c>
      <c r="M2" s="12"/>
      <c r="N2" s="12" t="s">
        <v>31</v>
      </c>
      <c r="O2" s="175"/>
      <c r="P2" s="175"/>
      <c r="Q2" s="175"/>
    </row>
    <row r="3" spans="1:19">
      <c r="M3" s="12"/>
      <c r="N3" s="12" t="s">
        <v>32</v>
      </c>
      <c r="O3" s="175"/>
      <c r="P3" s="175"/>
      <c r="Q3" s="175"/>
    </row>
    <row r="4" spans="1:19">
      <c r="A4" s="10" t="s">
        <v>177</v>
      </c>
      <c r="B4" s="10"/>
      <c r="C4" s="11"/>
      <c r="E4" s="11"/>
      <c r="M4" s="12"/>
      <c r="N4" s="12" t="s">
        <v>33</v>
      </c>
      <c r="O4" s="174"/>
      <c r="P4" s="174"/>
      <c r="Q4" s="174"/>
    </row>
    <row r="5" spans="1:19">
      <c r="M5" s="12"/>
      <c r="N5" s="12" t="s">
        <v>34</v>
      </c>
      <c r="O5" s="175"/>
      <c r="P5" s="175"/>
      <c r="Q5" s="175"/>
    </row>
    <row r="6" spans="1:19" ht="40" customHeight="1">
      <c r="A6" s="83" t="s">
        <v>201</v>
      </c>
      <c r="C6" s="109" t="str">
        <f>IF(COUNTIF(C9:C23,"無")&gt;0,"TAISに掲載されていない機器を導入する場合、別紙１－４を提出。","")</f>
        <v/>
      </c>
      <c r="G6" s="43" t="s">
        <v>144</v>
      </c>
      <c r="H6" s="43" t="s">
        <v>145</v>
      </c>
      <c r="I6" s="43" t="s">
        <v>146</v>
      </c>
      <c r="J6" s="43" t="s">
        <v>147</v>
      </c>
      <c r="K6" s="43" t="s">
        <v>148</v>
      </c>
      <c r="L6" s="43" t="s">
        <v>149</v>
      </c>
      <c r="M6" s="43"/>
      <c r="N6" s="43" t="s">
        <v>150</v>
      </c>
      <c r="O6" s="43" t="s">
        <v>165</v>
      </c>
      <c r="P6" s="43" t="s">
        <v>152</v>
      </c>
      <c r="Q6" s="49" t="s">
        <v>162</v>
      </c>
    </row>
    <row r="7" spans="1:19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20</v>
      </c>
      <c r="G7" s="92" t="s">
        <v>143</v>
      </c>
      <c r="H7" s="92" t="s">
        <v>130</v>
      </c>
      <c r="I7" s="92" t="s">
        <v>131</v>
      </c>
      <c r="J7" s="92" t="s">
        <v>11</v>
      </c>
      <c r="K7" s="92" t="s">
        <v>137</v>
      </c>
      <c r="L7" s="92" t="s">
        <v>10</v>
      </c>
      <c r="M7" s="92" t="s">
        <v>12</v>
      </c>
      <c r="N7" s="92" t="s">
        <v>160</v>
      </c>
      <c r="O7" s="92" t="s">
        <v>161</v>
      </c>
      <c r="P7" s="92" t="s">
        <v>129</v>
      </c>
      <c r="Q7" s="92" t="s">
        <v>180</v>
      </c>
    </row>
    <row r="8" spans="1:19" s="4" customFormat="1" ht="18" customHeight="1">
      <c r="A8" s="98"/>
      <c r="B8" s="98"/>
      <c r="C8" s="96"/>
      <c r="D8" s="98"/>
      <c r="E8" s="98"/>
      <c r="F8" s="99" t="s">
        <v>210</v>
      </c>
      <c r="G8" s="99" t="s">
        <v>211</v>
      </c>
      <c r="H8" s="99" t="s">
        <v>211</v>
      </c>
      <c r="I8" s="99" t="s">
        <v>211</v>
      </c>
      <c r="J8" s="99" t="s">
        <v>212</v>
      </c>
      <c r="K8" s="99" t="s">
        <v>211</v>
      </c>
      <c r="L8" s="99" t="s">
        <v>211</v>
      </c>
      <c r="M8" s="99"/>
      <c r="N8" s="99" t="s">
        <v>211</v>
      </c>
      <c r="O8" s="99" t="s">
        <v>211</v>
      </c>
      <c r="P8" s="99" t="s">
        <v>211</v>
      </c>
      <c r="Q8" s="99" t="s">
        <v>211</v>
      </c>
    </row>
    <row r="9" spans="1:19" ht="38.25" customHeight="1">
      <c r="A9" s="35" t="s">
        <v>19</v>
      </c>
      <c r="B9" s="123"/>
      <c r="C9" s="124"/>
      <c r="D9" s="125"/>
      <c r="E9" s="129"/>
      <c r="F9" s="160"/>
      <c r="G9" s="164"/>
      <c r="H9" s="164"/>
      <c r="I9" s="157" t="str">
        <f>IF(G9="","",G9-H9)</f>
        <v/>
      </c>
      <c r="J9" s="36"/>
      <c r="K9" s="123"/>
      <c r="L9" s="24" t="str">
        <f>IF(K9="","",K9)</f>
        <v/>
      </c>
      <c r="M9" s="171">
        <v>0.75</v>
      </c>
      <c r="N9" s="24" t="str">
        <f>IF(L9="","",L9*$M$9)</f>
        <v/>
      </c>
      <c r="O9" s="157" t="str">
        <f>IF(K9="","",ROUNDDOWN(SUM(N9:N13),-3))</f>
        <v/>
      </c>
      <c r="P9" s="154" t="str">
        <f>IF(O9="","",IF(F9="",0,IF(E9="職員数により合計金額が変動しない",2500000,IF($F$9&lt;=10,1000000,IF($F$9&lt;=20,1500000,IF($F$9&lt;=30,2000000,2500000))))))</f>
        <v/>
      </c>
      <c r="Q9" s="154" t="str">
        <f>IF(P9="","",ROUNDDOWN(MIN(I9,O9,P9),-3))</f>
        <v/>
      </c>
      <c r="R9" s="9" t="str">
        <f>CONCATENATE(A9,D9)</f>
        <v>介護ソフト</v>
      </c>
      <c r="S9" s="9" t="str">
        <f>IF(D9="","",IF(R9="","",COUNTIF($R$9:$R$23,R9)))</f>
        <v/>
      </c>
    </row>
    <row r="10" spans="1:19" ht="38.25" customHeight="1">
      <c r="A10" s="33" t="s">
        <v>133</v>
      </c>
      <c r="B10" s="126"/>
      <c r="C10" s="167"/>
      <c r="D10" s="167"/>
      <c r="E10" s="167"/>
      <c r="F10" s="161"/>
      <c r="G10" s="165"/>
      <c r="H10" s="165"/>
      <c r="I10" s="158"/>
      <c r="J10" s="126"/>
      <c r="K10" s="126"/>
      <c r="L10" s="31" t="str">
        <f>IF(J10="","",J10*K10)</f>
        <v/>
      </c>
      <c r="M10" s="172"/>
      <c r="N10" s="31" t="str">
        <f>IF(L10="","",IF(K10*$M$9&gt;100000,100000*J10,L10*$M$9))</f>
        <v/>
      </c>
      <c r="O10" s="158"/>
      <c r="P10" s="155"/>
      <c r="Q10" s="155"/>
    </row>
    <row r="11" spans="1:19" ht="38.25" customHeight="1">
      <c r="A11" s="33" t="s">
        <v>134</v>
      </c>
      <c r="B11" s="126"/>
      <c r="C11" s="168"/>
      <c r="D11" s="168"/>
      <c r="E11" s="168"/>
      <c r="F11" s="161"/>
      <c r="G11" s="165"/>
      <c r="H11" s="165"/>
      <c r="I11" s="158"/>
      <c r="J11" s="126"/>
      <c r="K11" s="126"/>
      <c r="L11" s="31" t="str">
        <f t="shared" ref="L11:L12" si="0">IF(J11="","",J11*K11)</f>
        <v/>
      </c>
      <c r="M11" s="172"/>
      <c r="N11" s="31" t="str">
        <f t="shared" ref="N11:N12" si="1">IF(L11="","",IF(K11*$M$9&gt;100000,100000*J11,L11*$M$9))</f>
        <v/>
      </c>
      <c r="O11" s="158"/>
      <c r="P11" s="155"/>
      <c r="Q11" s="155"/>
    </row>
    <row r="12" spans="1:19" ht="38.25" customHeight="1">
      <c r="A12" s="33" t="s">
        <v>135</v>
      </c>
      <c r="B12" s="126"/>
      <c r="C12" s="168"/>
      <c r="D12" s="168"/>
      <c r="E12" s="168"/>
      <c r="F12" s="161"/>
      <c r="G12" s="165"/>
      <c r="H12" s="165"/>
      <c r="I12" s="158"/>
      <c r="J12" s="126"/>
      <c r="K12" s="126"/>
      <c r="L12" s="31" t="str">
        <f t="shared" si="0"/>
        <v/>
      </c>
      <c r="M12" s="172"/>
      <c r="N12" s="31" t="str">
        <f t="shared" si="1"/>
        <v/>
      </c>
      <c r="O12" s="158"/>
      <c r="P12" s="155"/>
      <c r="Q12" s="155"/>
    </row>
    <row r="13" spans="1:19" ht="38.25" customHeight="1">
      <c r="A13" s="32" t="s">
        <v>136</v>
      </c>
      <c r="B13" s="128"/>
      <c r="C13" s="169"/>
      <c r="D13" s="169"/>
      <c r="E13" s="169"/>
      <c r="F13" s="161"/>
      <c r="G13" s="166"/>
      <c r="H13" s="166"/>
      <c r="I13" s="159"/>
      <c r="J13" s="34"/>
      <c r="K13" s="128"/>
      <c r="L13" s="41" t="str">
        <f>IF(K13="","",K13)</f>
        <v/>
      </c>
      <c r="M13" s="172"/>
      <c r="N13" s="41" t="str">
        <f>IF(L13="","",L13*$M$9)</f>
        <v/>
      </c>
      <c r="O13" s="159"/>
      <c r="P13" s="156"/>
      <c r="Q13" s="156"/>
    </row>
    <row r="14" spans="1:19" ht="38.25" customHeight="1">
      <c r="A14" s="35" t="s">
        <v>19</v>
      </c>
      <c r="B14" s="123"/>
      <c r="C14" s="124"/>
      <c r="D14" s="125"/>
      <c r="E14" s="129"/>
      <c r="F14" s="161"/>
      <c r="G14" s="164"/>
      <c r="H14" s="164"/>
      <c r="I14" s="157" t="str">
        <f t="shared" ref="I14" si="2">IF(G14="","",G14-H14)</f>
        <v/>
      </c>
      <c r="J14" s="36"/>
      <c r="K14" s="123"/>
      <c r="L14" s="24" t="str">
        <f t="shared" ref="L14" si="3">IF(K14="","",K14)</f>
        <v/>
      </c>
      <c r="M14" s="172"/>
      <c r="N14" s="24" t="str">
        <f t="shared" ref="N14" si="4">IF(L14="","",L14*$M$9)</f>
        <v/>
      </c>
      <c r="O14" s="157" t="str">
        <f t="shared" ref="O14" si="5">IF(K14="","",ROUNDDOWN(SUM(N14:N18),-3))</f>
        <v/>
      </c>
      <c r="P14" s="154" t="str">
        <f t="shared" ref="P14" si="6">IF(O14="","",IF(F14="",0,IF(E14="職員数により合計金額が変動しない",2500000,IF($F$9&lt;=10,1000000,IF($F$9&lt;=20,1500000,IF($F$9&lt;=30,2000000,2500000))))))</f>
        <v/>
      </c>
      <c r="Q14" s="154" t="str">
        <f t="shared" ref="Q14" si="7">IF(P14="","",ROUNDDOWN(MIN(I14,O14,P14),-3))</f>
        <v/>
      </c>
      <c r="R14" s="9" t="str">
        <f>CONCATENATE(A14,D14)</f>
        <v>介護ソフト</v>
      </c>
      <c r="S14" s="9" t="str">
        <f>IF(D14="","",IF(R14="","",COUNTIF($R$9:$R$23,R14)))</f>
        <v/>
      </c>
    </row>
    <row r="15" spans="1:19" ht="38.25" customHeight="1">
      <c r="A15" s="33" t="s">
        <v>133</v>
      </c>
      <c r="B15" s="126"/>
      <c r="C15" s="167"/>
      <c r="D15" s="167"/>
      <c r="E15" s="167"/>
      <c r="F15" s="161"/>
      <c r="G15" s="165"/>
      <c r="H15" s="165"/>
      <c r="I15" s="158"/>
      <c r="J15" s="126"/>
      <c r="K15" s="126"/>
      <c r="L15" s="31" t="str">
        <f t="shared" ref="L15:L22" si="8">IF(J15="","",J15*K15)</f>
        <v/>
      </c>
      <c r="M15" s="172"/>
      <c r="N15" s="31" t="str">
        <f t="shared" ref="N15:N22" si="9">IF(L15="","",IF(K15*$M$9&gt;100000,100000*J15,L15*$M$9))</f>
        <v/>
      </c>
      <c r="O15" s="158"/>
      <c r="P15" s="155"/>
      <c r="Q15" s="155"/>
    </row>
    <row r="16" spans="1:19" ht="38.25" customHeight="1">
      <c r="A16" s="33" t="s">
        <v>134</v>
      </c>
      <c r="B16" s="126"/>
      <c r="C16" s="168"/>
      <c r="D16" s="168"/>
      <c r="E16" s="168"/>
      <c r="F16" s="161"/>
      <c r="G16" s="165"/>
      <c r="H16" s="165"/>
      <c r="I16" s="158"/>
      <c r="J16" s="126"/>
      <c r="K16" s="126"/>
      <c r="L16" s="31" t="str">
        <f t="shared" si="8"/>
        <v/>
      </c>
      <c r="M16" s="172"/>
      <c r="N16" s="31" t="str">
        <f t="shared" si="9"/>
        <v/>
      </c>
      <c r="O16" s="158"/>
      <c r="P16" s="155"/>
      <c r="Q16" s="155"/>
    </row>
    <row r="17" spans="1:19" ht="38.25" customHeight="1">
      <c r="A17" s="33" t="s">
        <v>135</v>
      </c>
      <c r="B17" s="126"/>
      <c r="C17" s="168"/>
      <c r="D17" s="168"/>
      <c r="E17" s="168"/>
      <c r="F17" s="161"/>
      <c r="G17" s="165"/>
      <c r="H17" s="165"/>
      <c r="I17" s="158"/>
      <c r="J17" s="126"/>
      <c r="K17" s="126"/>
      <c r="L17" s="31" t="str">
        <f t="shared" si="8"/>
        <v/>
      </c>
      <c r="M17" s="172"/>
      <c r="N17" s="31" t="str">
        <f t="shared" si="9"/>
        <v/>
      </c>
      <c r="O17" s="158"/>
      <c r="P17" s="155"/>
      <c r="Q17" s="155"/>
    </row>
    <row r="18" spans="1:19" ht="38.25" customHeight="1">
      <c r="A18" s="32" t="s">
        <v>136</v>
      </c>
      <c r="B18" s="128"/>
      <c r="C18" s="169"/>
      <c r="D18" s="169"/>
      <c r="E18" s="169"/>
      <c r="F18" s="161"/>
      <c r="G18" s="166"/>
      <c r="H18" s="166"/>
      <c r="I18" s="159"/>
      <c r="J18" s="34"/>
      <c r="K18" s="128"/>
      <c r="L18" s="41" t="str">
        <f t="shared" ref="L18:L19" si="10">IF(K18="","",K18)</f>
        <v/>
      </c>
      <c r="M18" s="172"/>
      <c r="N18" s="41" t="str">
        <f t="shared" ref="N18:N19" si="11">IF(L18="","",L18*$M$9)</f>
        <v/>
      </c>
      <c r="O18" s="159"/>
      <c r="P18" s="156"/>
      <c r="Q18" s="156"/>
    </row>
    <row r="19" spans="1:19" ht="38.25" customHeight="1">
      <c r="A19" s="35" t="s">
        <v>19</v>
      </c>
      <c r="B19" s="123"/>
      <c r="C19" s="124"/>
      <c r="D19" s="125"/>
      <c r="E19" s="129"/>
      <c r="F19" s="161"/>
      <c r="G19" s="164"/>
      <c r="H19" s="164"/>
      <c r="I19" s="157" t="str">
        <f t="shared" ref="I19" si="12">IF(G19="","",G19-H19)</f>
        <v/>
      </c>
      <c r="J19" s="36"/>
      <c r="K19" s="123"/>
      <c r="L19" s="24" t="str">
        <f t="shared" si="10"/>
        <v/>
      </c>
      <c r="M19" s="172"/>
      <c r="N19" s="24" t="str">
        <f t="shared" si="11"/>
        <v/>
      </c>
      <c r="O19" s="157" t="str">
        <f t="shared" ref="O19" si="13">IF(K19="","",ROUNDDOWN(SUM(N19:N23),-3))</f>
        <v/>
      </c>
      <c r="P19" s="154" t="str">
        <f t="shared" ref="P19" si="14">IF(O19="","",IF(F19="",0,IF(E19="職員数により合計金額が変動しない",2500000,IF($F$9&lt;=10,1000000,IF($F$9&lt;=20,1500000,IF($F$9&lt;=30,2000000,2500000))))))</f>
        <v/>
      </c>
      <c r="Q19" s="154" t="str">
        <f t="shared" ref="Q19" si="15">IF(P19="","",ROUNDDOWN(MIN(I19,O19,P19),-3))</f>
        <v/>
      </c>
      <c r="R19" s="9" t="str">
        <f>CONCATENATE(A19,D19)</f>
        <v>介護ソフト</v>
      </c>
      <c r="S19" s="9" t="str">
        <f>IF(D19="","",IF(R19="","",COUNTIF($R$9:$R$23,R19)))</f>
        <v/>
      </c>
    </row>
    <row r="20" spans="1:19" ht="38.25" customHeight="1">
      <c r="A20" s="33" t="s">
        <v>133</v>
      </c>
      <c r="B20" s="126"/>
      <c r="C20" s="167"/>
      <c r="D20" s="167"/>
      <c r="E20" s="167"/>
      <c r="F20" s="161"/>
      <c r="G20" s="165"/>
      <c r="H20" s="165"/>
      <c r="I20" s="158"/>
      <c r="J20" s="126"/>
      <c r="K20" s="126"/>
      <c r="L20" s="31" t="str">
        <f t="shared" ref="L20" si="16">IF(J20="","",J20*K20)</f>
        <v/>
      </c>
      <c r="M20" s="172"/>
      <c r="N20" s="31" t="str">
        <f t="shared" ref="N20" si="17">IF(L20="","",IF(K20*$M$9&gt;100000,100000*J20,L20*$M$9))</f>
        <v/>
      </c>
      <c r="O20" s="158"/>
      <c r="P20" s="155"/>
      <c r="Q20" s="155"/>
    </row>
    <row r="21" spans="1:19" ht="38.25" customHeight="1">
      <c r="A21" s="33" t="s">
        <v>134</v>
      </c>
      <c r="B21" s="126"/>
      <c r="C21" s="168"/>
      <c r="D21" s="168"/>
      <c r="E21" s="168"/>
      <c r="F21" s="161"/>
      <c r="G21" s="165"/>
      <c r="H21" s="165"/>
      <c r="I21" s="158"/>
      <c r="J21" s="126"/>
      <c r="K21" s="126"/>
      <c r="L21" s="31" t="str">
        <f t="shared" si="8"/>
        <v/>
      </c>
      <c r="M21" s="172"/>
      <c r="N21" s="31" t="str">
        <f t="shared" si="9"/>
        <v/>
      </c>
      <c r="O21" s="158"/>
      <c r="P21" s="155"/>
      <c r="Q21" s="155"/>
    </row>
    <row r="22" spans="1:19" ht="38.25" customHeight="1">
      <c r="A22" s="33" t="s">
        <v>135</v>
      </c>
      <c r="B22" s="126"/>
      <c r="C22" s="168"/>
      <c r="D22" s="168"/>
      <c r="E22" s="168"/>
      <c r="F22" s="161"/>
      <c r="G22" s="165"/>
      <c r="H22" s="165"/>
      <c r="I22" s="158"/>
      <c r="J22" s="126"/>
      <c r="K22" s="126"/>
      <c r="L22" s="31" t="str">
        <f t="shared" si="8"/>
        <v/>
      </c>
      <c r="M22" s="172"/>
      <c r="N22" s="31" t="str">
        <f t="shared" si="9"/>
        <v/>
      </c>
      <c r="O22" s="158"/>
      <c r="P22" s="155"/>
      <c r="Q22" s="155"/>
    </row>
    <row r="23" spans="1:19" ht="38.25" customHeight="1">
      <c r="A23" s="32" t="s">
        <v>136</v>
      </c>
      <c r="B23" s="128"/>
      <c r="C23" s="169"/>
      <c r="D23" s="169"/>
      <c r="E23" s="169"/>
      <c r="F23" s="162"/>
      <c r="G23" s="166"/>
      <c r="H23" s="166"/>
      <c r="I23" s="159"/>
      <c r="J23" s="34"/>
      <c r="K23" s="128"/>
      <c r="L23" s="41" t="str">
        <f t="shared" ref="L23" si="18">IF(K23="","",K23)</f>
        <v/>
      </c>
      <c r="M23" s="173"/>
      <c r="N23" s="41" t="str">
        <f t="shared" ref="N23" si="19">IF(L23="","",L23*$M$9)</f>
        <v/>
      </c>
      <c r="O23" s="159"/>
      <c r="P23" s="156"/>
      <c r="Q23" s="156"/>
    </row>
    <row r="24" spans="1:19">
      <c r="A24" s="39"/>
      <c r="B24" s="39"/>
      <c r="C24" s="39"/>
      <c r="D24" s="39"/>
      <c r="E24" s="39"/>
      <c r="F24" s="38" t="s">
        <v>16</v>
      </c>
      <c r="G24" s="16">
        <f t="shared" ref="G24:I24" si="20">SUM(G9:G23)</f>
        <v>0</v>
      </c>
      <c r="H24" s="16">
        <f t="shared" si="20"/>
        <v>0</v>
      </c>
      <c r="I24" s="16">
        <f t="shared" si="20"/>
        <v>0</v>
      </c>
      <c r="J24" s="16"/>
      <c r="K24" s="16"/>
      <c r="L24" s="16">
        <f t="shared" ref="L24:O24" si="21">SUM(L9:L23)</f>
        <v>0</v>
      </c>
      <c r="M24" s="19"/>
      <c r="N24" s="16">
        <f t="shared" ref="N24" si="22">SUM(N9:N23)</f>
        <v>0</v>
      </c>
      <c r="O24" s="16">
        <f t="shared" si="21"/>
        <v>0</v>
      </c>
      <c r="P24" s="16">
        <f t="shared" ref="P24" si="23">SUM(P9:P23)</f>
        <v>0</v>
      </c>
      <c r="Q24" s="16">
        <f>SUM(Q9:Q23)</f>
        <v>0</v>
      </c>
      <c r="S24" s="9">
        <f>SUM(S9:S23)</f>
        <v>0</v>
      </c>
    </row>
    <row r="25" spans="1:19" ht="37.65" customHeight="1">
      <c r="A25" s="29" t="str">
        <f>IF(S24&gt;3,"！同一の使用目的で補助できる機種は1種類限りです！","")</f>
        <v/>
      </c>
    </row>
    <row r="26" spans="1:19" ht="37.65" customHeight="1"/>
    <row r="27" spans="1:19" ht="37.65" customHeight="1"/>
    <row r="28" spans="1:19" ht="37.65" customHeight="1"/>
    <row r="29" spans="1:19" ht="37.65" customHeight="1"/>
  </sheetData>
  <sheetProtection algorithmName="SHA-512" hashValue="KJ8E//FhXuPoLhMPIHYkne6/JgmbwViYHT25RVz64b1q7AUEqCmzLhIJkZQEtDGz2dDAYQSgG1g3BLpvLC71Gw==" saltValue="syFI/KMY9/Hbt1rjvhh8RA==" spinCount="100000" sheet="1" objects="1" scenarios="1"/>
  <mergeCells count="34">
    <mergeCell ref="Q14:Q18"/>
    <mergeCell ref="G19:G23"/>
    <mergeCell ref="H19:H23"/>
    <mergeCell ref="I19:I23"/>
    <mergeCell ref="O19:O23"/>
    <mergeCell ref="P19:P23"/>
    <mergeCell ref="H9:H13"/>
    <mergeCell ref="I9:I13"/>
    <mergeCell ref="M9:M23"/>
    <mergeCell ref="O1:Q1"/>
    <mergeCell ref="O2:Q2"/>
    <mergeCell ref="O3:Q3"/>
    <mergeCell ref="O4:Q4"/>
    <mergeCell ref="O5:Q5"/>
    <mergeCell ref="Q19:Q23"/>
    <mergeCell ref="O9:O13"/>
    <mergeCell ref="P9:P13"/>
    <mergeCell ref="Q9:Q13"/>
    <mergeCell ref="H14:H18"/>
    <mergeCell ref="I14:I18"/>
    <mergeCell ref="O14:O18"/>
    <mergeCell ref="P14:P18"/>
    <mergeCell ref="C10:C13"/>
    <mergeCell ref="C15:C18"/>
    <mergeCell ref="C20:C23"/>
    <mergeCell ref="F9:F23"/>
    <mergeCell ref="G9:G13"/>
    <mergeCell ref="G14:G18"/>
    <mergeCell ref="E20:E23"/>
    <mergeCell ref="D20:D23"/>
    <mergeCell ref="E15:E18"/>
    <mergeCell ref="D15:D18"/>
    <mergeCell ref="E10:E13"/>
    <mergeCell ref="D10:D13"/>
  </mergeCells>
  <phoneticPr fontId="1"/>
  <conditionalFormatting sqref="L9:M9 L13:M13 L14 M14:M23 L18:L19 L23">
    <cfRule type="expression" dxfId="4" priority="1">
      <formula>$L9="台数上限を超えています"</formula>
    </cfRule>
  </conditionalFormatting>
  <dataValidations count="4">
    <dataValidation type="list" allowBlank="1" showInputMessage="1" showErrorMessage="1" sqref="E9 E14 E19" xr:uid="{C8028597-2333-4E6A-A836-FE946E159CF7}">
      <formula1>"職員数により合計金額が変動する,職員数により合計金額が変動しない"</formula1>
    </dataValidation>
    <dataValidation type="list" allowBlank="1" showInputMessage="1" sqref="A9:A23" xr:uid="{C25D2312-4514-4EEB-AB74-D02B1B376ACE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allowBlank="1" showInputMessage="1" showErrorMessage="1" prompt="情報端末の1台あたりの金額に補助率3/4を乗じて10万円を超える場合、10万円までが補助対象額となります。" sqref="K10:K12 K15:K17 K20:K22" xr:uid="{7E4F3455-E70B-475C-8AAE-3A5315128398}"/>
    <dataValidation type="list" allowBlank="1" showInputMessage="1" showErrorMessage="1" sqref="C9 C14 C19" xr:uid="{18B58734-3E11-48F1-A395-00560789639B}">
      <formula1>"有,無"</formula1>
    </dataValidation>
  </dataValidations>
  <hyperlinks>
    <hyperlink ref="A6" location="事前設定シート!A1" display="事前設定シートへ戻る" xr:uid="{817942EA-2920-4C69-9D64-BEDF5B9ACEB2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289E8F-DE7B-4E84-B6DB-12A9CD95F20C}">
          <x14:formula1>
            <xm:f>データリスト!$A$2:$A$53</xm:f>
          </x14:formula1>
          <xm:sqref>O4:Q4</xm:sqref>
        </x14:dataValidation>
        <x14:dataValidation type="list" allowBlank="1" showInputMessage="1" prompt="その他を選択した場合は、（）内に具体的な使用目的を記載してください。" xr:uid="{C5645AB3-7235-45C6-98A8-C6838608DEFE}">
          <x14:formula1>
            <xm:f>データリスト!$C$3:$C$10</xm:f>
          </x14:formula1>
          <xm:sqref>D9 D14 D19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DFCA-5E57-42A0-933C-75AAECF230B7}">
  <sheetPr codeName="Sheet8"/>
  <dimension ref="A1:S29"/>
  <sheetViews>
    <sheetView view="pageBreakPreview" zoomScale="75" zoomScaleNormal="70" zoomScaleSheetLayoutView="75" workbookViewId="0">
      <selection activeCell="E27" sqref="E27"/>
    </sheetView>
  </sheetViews>
  <sheetFormatPr defaultColWidth="8.83203125" defaultRowHeight="18"/>
  <cols>
    <col min="1" max="1" width="25.83203125" style="9" customWidth="1"/>
    <col min="2" max="2" width="26.08203125" style="9" bestFit="1" customWidth="1"/>
    <col min="3" max="3" width="10.4140625" style="9" customWidth="1"/>
    <col min="4" max="4" width="32.58203125" style="9" customWidth="1"/>
    <col min="5" max="5" width="23" style="9" customWidth="1"/>
    <col min="6" max="6" width="6.83203125" style="9" bestFit="1" customWidth="1"/>
    <col min="7" max="9" width="13.58203125" style="9" customWidth="1"/>
    <col min="10" max="10" width="8.58203125" style="9" bestFit="1" customWidth="1"/>
    <col min="11" max="11" width="13" style="9" customWidth="1"/>
    <col min="12" max="12" width="21.83203125" style="9" customWidth="1"/>
    <col min="13" max="13" width="6.83203125" style="9" bestFit="1" customWidth="1"/>
    <col min="14" max="14" width="13.58203125" style="9" customWidth="1"/>
    <col min="15" max="15" width="13.6640625" style="9" customWidth="1"/>
    <col min="16" max="16" width="13" style="9" customWidth="1"/>
    <col min="17" max="17" width="13.83203125" style="9" bestFit="1" customWidth="1"/>
    <col min="18" max="18" width="36.6640625" style="9" customWidth="1"/>
    <col min="19" max="19" width="5.6640625" style="9" customWidth="1"/>
    <col min="20" max="16384" width="8.83203125" style="9"/>
  </cols>
  <sheetData>
    <row r="1" spans="1:19">
      <c r="A1" s="9" t="s">
        <v>204</v>
      </c>
      <c r="M1" s="12"/>
      <c r="N1" s="12" t="s">
        <v>30</v>
      </c>
      <c r="O1" s="180"/>
      <c r="P1" s="180"/>
      <c r="Q1" s="180"/>
    </row>
    <row r="2" spans="1:19">
      <c r="A2" s="9" t="s">
        <v>2</v>
      </c>
      <c r="M2" s="12"/>
      <c r="N2" s="12" t="s">
        <v>31</v>
      </c>
      <c r="O2" s="181"/>
      <c r="P2" s="181"/>
      <c r="Q2" s="181"/>
    </row>
    <row r="3" spans="1:19">
      <c r="M3" s="12"/>
      <c r="N3" s="12" t="s">
        <v>32</v>
      </c>
      <c r="O3" s="181"/>
      <c r="P3" s="181"/>
      <c r="Q3" s="181"/>
    </row>
    <row r="4" spans="1:19">
      <c r="A4" s="10" t="s">
        <v>177</v>
      </c>
      <c r="B4" s="10"/>
      <c r="C4" s="11"/>
      <c r="E4" s="11"/>
      <c r="M4" s="12"/>
      <c r="N4" s="12" t="s">
        <v>33</v>
      </c>
      <c r="O4" s="182"/>
      <c r="P4" s="182"/>
      <c r="Q4" s="182"/>
    </row>
    <row r="5" spans="1:19">
      <c r="M5" s="12"/>
      <c r="N5" s="12" t="s">
        <v>34</v>
      </c>
      <c r="O5" s="181"/>
      <c r="P5" s="181"/>
      <c r="Q5" s="181"/>
    </row>
    <row r="6" spans="1:19" ht="40" customHeight="1">
      <c r="C6" s="109" t="str">
        <f>IF(COUNTIF(C9:C23,"無")&gt;0,"TAISに掲載されていない機器を導入する場合、別紙１－４を提出。","")</f>
        <v/>
      </c>
      <c r="G6" s="58" t="s">
        <v>144</v>
      </c>
      <c r="H6" s="58" t="s">
        <v>145</v>
      </c>
      <c r="I6" s="58" t="s">
        <v>146</v>
      </c>
      <c r="J6" s="58" t="s">
        <v>147</v>
      </c>
      <c r="K6" s="58" t="s">
        <v>148</v>
      </c>
      <c r="L6" s="58" t="s">
        <v>149</v>
      </c>
      <c r="M6" s="58"/>
      <c r="N6" s="58" t="s">
        <v>150</v>
      </c>
      <c r="O6" s="58" t="s">
        <v>165</v>
      </c>
      <c r="P6" s="58" t="s">
        <v>152</v>
      </c>
      <c r="Q6" s="49" t="s">
        <v>162</v>
      </c>
    </row>
    <row r="7" spans="1:19" s="4" customFormat="1" ht="54" customHeight="1">
      <c r="A7" s="92" t="s">
        <v>4</v>
      </c>
      <c r="B7" s="92" t="s">
        <v>138</v>
      </c>
      <c r="C7" s="92" t="s">
        <v>132</v>
      </c>
      <c r="D7" s="92" t="s">
        <v>28</v>
      </c>
      <c r="E7" s="92" t="s">
        <v>141</v>
      </c>
      <c r="F7" s="92" t="s">
        <v>20</v>
      </c>
      <c r="G7" s="92" t="s">
        <v>143</v>
      </c>
      <c r="H7" s="92" t="s">
        <v>130</v>
      </c>
      <c r="I7" s="92" t="s">
        <v>131</v>
      </c>
      <c r="J7" s="92" t="s">
        <v>11</v>
      </c>
      <c r="K7" s="92" t="s">
        <v>137</v>
      </c>
      <c r="L7" s="92" t="s">
        <v>10</v>
      </c>
      <c r="M7" s="92" t="s">
        <v>12</v>
      </c>
      <c r="N7" s="92" t="s">
        <v>160</v>
      </c>
      <c r="O7" s="92" t="s">
        <v>161</v>
      </c>
      <c r="P7" s="92" t="s">
        <v>129</v>
      </c>
      <c r="Q7" s="92" t="s">
        <v>180</v>
      </c>
    </row>
    <row r="8" spans="1:19" s="4" customFormat="1" ht="18" customHeight="1">
      <c r="A8" s="98"/>
      <c r="B8" s="98"/>
      <c r="C8" s="96"/>
      <c r="D8" s="98"/>
      <c r="E8" s="98"/>
      <c r="F8" s="99" t="s">
        <v>210</v>
      </c>
      <c r="G8" s="99" t="s">
        <v>211</v>
      </c>
      <c r="H8" s="99" t="s">
        <v>211</v>
      </c>
      <c r="I8" s="99" t="s">
        <v>211</v>
      </c>
      <c r="J8" s="99" t="s">
        <v>212</v>
      </c>
      <c r="K8" s="99" t="s">
        <v>211</v>
      </c>
      <c r="L8" s="99" t="s">
        <v>211</v>
      </c>
      <c r="M8" s="99"/>
      <c r="N8" s="99" t="s">
        <v>211</v>
      </c>
      <c r="O8" s="99" t="s">
        <v>211</v>
      </c>
      <c r="P8" s="99" t="s">
        <v>211</v>
      </c>
      <c r="Q8" s="99" t="s">
        <v>211</v>
      </c>
    </row>
    <row r="9" spans="1:19" ht="38.25" customHeight="1">
      <c r="A9" s="35" t="s">
        <v>19</v>
      </c>
      <c r="B9" s="62" t="s">
        <v>193</v>
      </c>
      <c r="C9" s="113" t="s">
        <v>183</v>
      </c>
      <c r="D9" s="63" t="s">
        <v>122</v>
      </c>
      <c r="E9" s="67" t="s">
        <v>194</v>
      </c>
      <c r="F9" s="186">
        <v>31</v>
      </c>
      <c r="G9" s="177">
        <v>4400000</v>
      </c>
      <c r="H9" s="177">
        <v>0</v>
      </c>
      <c r="I9" s="157">
        <f>IF(G9="","",G9-H9)</f>
        <v>4400000</v>
      </c>
      <c r="J9" s="36"/>
      <c r="K9" s="62">
        <v>1000000</v>
      </c>
      <c r="L9" s="24">
        <f>IF(K9="","",K9)</f>
        <v>1000000</v>
      </c>
      <c r="M9" s="171">
        <v>0.75</v>
      </c>
      <c r="N9" s="24">
        <f>IF(L9="","",L9*$M$9)</f>
        <v>750000</v>
      </c>
      <c r="O9" s="157">
        <f>IF(K9="","",ROUNDDOWN(SUM(N9:N13),-3))</f>
        <v>3050000</v>
      </c>
      <c r="P9" s="154">
        <f>IF(O9="","",IF(F9="",0,IF(E9="職員数により合計金額が変動しない",2500000,IF($F$9&lt;=10,1000000,IF($F$9&lt;=20,1500000,IF($F$9&lt;=30,2000000,2500000))))))</f>
        <v>2500000</v>
      </c>
      <c r="Q9" s="154">
        <f>IF(P9="","",ROUNDDOWN(MIN(I9,O9,P9),-3))</f>
        <v>2500000</v>
      </c>
      <c r="R9" s="9" t="str">
        <f>CONCATENATE(A9,D9)</f>
        <v>介護ソフト記録業務に要する時間の短縮</v>
      </c>
      <c r="S9" s="9">
        <f>IF(D9="","",IF(R9="","",COUNTIF($R$9:$R$23,R9)))</f>
        <v>1</v>
      </c>
    </row>
    <row r="10" spans="1:19" ht="38.25" customHeight="1">
      <c r="A10" s="33" t="s">
        <v>133</v>
      </c>
      <c r="B10" s="64" t="s">
        <v>184</v>
      </c>
      <c r="C10" s="167"/>
      <c r="D10" s="167"/>
      <c r="E10" s="167"/>
      <c r="F10" s="184"/>
      <c r="G10" s="178"/>
      <c r="H10" s="178"/>
      <c r="I10" s="158"/>
      <c r="J10" s="64">
        <v>5</v>
      </c>
      <c r="K10" s="64">
        <v>100000</v>
      </c>
      <c r="L10" s="31">
        <f>IF(J10="","",J10*K10)</f>
        <v>500000</v>
      </c>
      <c r="M10" s="172"/>
      <c r="N10" s="31">
        <f>IF(L10="","",IF(K10*$M$9&gt;100000,100000*J10,L10*$M$9))</f>
        <v>375000</v>
      </c>
      <c r="O10" s="158"/>
      <c r="P10" s="155"/>
      <c r="Q10" s="155"/>
    </row>
    <row r="11" spans="1:19" ht="38.25" customHeight="1">
      <c r="A11" s="33" t="s">
        <v>134</v>
      </c>
      <c r="B11" s="64" t="s">
        <v>185</v>
      </c>
      <c r="C11" s="168"/>
      <c r="D11" s="168"/>
      <c r="E11" s="168"/>
      <c r="F11" s="184"/>
      <c r="G11" s="178"/>
      <c r="H11" s="178"/>
      <c r="I11" s="158"/>
      <c r="J11" s="64">
        <v>5</v>
      </c>
      <c r="K11" s="64">
        <v>80000</v>
      </c>
      <c r="L11" s="31">
        <f t="shared" ref="L11:L12" si="0">IF(J11="","",J11*K11)</f>
        <v>400000</v>
      </c>
      <c r="M11" s="172"/>
      <c r="N11" s="31">
        <f t="shared" ref="N11:N12" si="1">IF(L11="","",IF(K11*$M$9&gt;100000,100000*J11,L11*$M$9))</f>
        <v>300000</v>
      </c>
      <c r="O11" s="158"/>
      <c r="P11" s="155"/>
      <c r="Q11" s="155"/>
    </row>
    <row r="12" spans="1:19" ht="38.25" customHeight="1">
      <c r="A12" s="33" t="s">
        <v>135</v>
      </c>
      <c r="B12" s="64" t="s">
        <v>186</v>
      </c>
      <c r="C12" s="168"/>
      <c r="D12" s="168"/>
      <c r="E12" s="168"/>
      <c r="F12" s="184"/>
      <c r="G12" s="178"/>
      <c r="H12" s="178"/>
      <c r="I12" s="158"/>
      <c r="J12" s="64">
        <v>5</v>
      </c>
      <c r="K12" s="64">
        <v>200000</v>
      </c>
      <c r="L12" s="31">
        <f t="shared" si="0"/>
        <v>1000000</v>
      </c>
      <c r="M12" s="172"/>
      <c r="N12" s="31">
        <f t="shared" si="1"/>
        <v>500000</v>
      </c>
      <c r="O12" s="158"/>
      <c r="P12" s="155"/>
      <c r="Q12" s="155"/>
    </row>
    <row r="13" spans="1:19" ht="38.25" customHeight="1">
      <c r="A13" s="32" t="s">
        <v>136</v>
      </c>
      <c r="B13" s="65" t="s">
        <v>187</v>
      </c>
      <c r="C13" s="169"/>
      <c r="D13" s="169"/>
      <c r="E13" s="169"/>
      <c r="F13" s="184"/>
      <c r="G13" s="179"/>
      <c r="H13" s="179"/>
      <c r="I13" s="159"/>
      <c r="J13" s="34"/>
      <c r="K13" s="65">
        <v>1500000</v>
      </c>
      <c r="L13" s="55">
        <f>IF(K13="","",K13)</f>
        <v>1500000</v>
      </c>
      <c r="M13" s="172"/>
      <c r="N13" s="55">
        <f>IF(L13="","",L13*$M$9)</f>
        <v>1125000</v>
      </c>
      <c r="O13" s="159"/>
      <c r="P13" s="156"/>
      <c r="Q13" s="156"/>
    </row>
    <row r="14" spans="1:19" ht="38.25" customHeight="1">
      <c r="A14" s="35" t="s">
        <v>19</v>
      </c>
      <c r="B14" s="20"/>
      <c r="C14" s="108"/>
      <c r="D14" s="21"/>
      <c r="E14" s="37"/>
      <c r="F14" s="184"/>
      <c r="G14" s="177"/>
      <c r="H14" s="177"/>
      <c r="I14" s="157" t="str">
        <f t="shared" ref="I14" si="2">IF(G14="","",G14-H14)</f>
        <v/>
      </c>
      <c r="J14" s="36"/>
      <c r="K14" s="20"/>
      <c r="L14" s="24" t="str">
        <f t="shared" ref="L14" si="3">IF(K14="","",K14)</f>
        <v/>
      </c>
      <c r="M14" s="172"/>
      <c r="N14" s="24" t="str">
        <f t="shared" ref="N14" si="4">IF(L14="","",L14*$M$9)</f>
        <v/>
      </c>
      <c r="O14" s="157" t="str">
        <f t="shared" ref="O14" si="5">IF(K14="","",ROUNDDOWN(SUM(N14:N18),-3))</f>
        <v/>
      </c>
      <c r="P14" s="154" t="str">
        <f t="shared" ref="P14" si="6">IF(O14="","",IF(F14="",0,IF(E14="職員数により合計金額が変動しない",2500000,IF($F$9&lt;=10,1000000,IF($F$9&lt;=20,1500000,IF($F$9&lt;=30,2000000,2500000))))))</f>
        <v/>
      </c>
      <c r="Q14" s="154" t="str">
        <f t="shared" ref="Q14" si="7">IF(P14="","",ROUNDDOWN(MIN(I14,O14,P14),-3))</f>
        <v/>
      </c>
      <c r="R14" s="9" t="str">
        <f>CONCATENATE(A14,D14)</f>
        <v>介護ソフト</v>
      </c>
      <c r="S14" s="9" t="str">
        <f>IF(D14="","",IF(R14="","",COUNTIF($R$9:$R$23,R14)))</f>
        <v/>
      </c>
    </row>
    <row r="15" spans="1:19" ht="38.25" customHeight="1">
      <c r="A15" s="33" t="s">
        <v>133</v>
      </c>
      <c r="B15" s="30"/>
      <c r="C15" s="167"/>
      <c r="D15" s="167"/>
      <c r="E15" s="167"/>
      <c r="F15" s="184"/>
      <c r="G15" s="178"/>
      <c r="H15" s="178"/>
      <c r="I15" s="158"/>
      <c r="J15" s="30"/>
      <c r="K15" s="30"/>
      <c r="L15" s="31" t="str">
        <f t="shared" ref="L15:L22" si="8">IF(J15="","",J15*K15)</f>
        <v/>
      </c>
      <c r="M15" s="172"/>
      <c r="N15" s="31" t="str">
        <f t="shared" ref="N15:N22" si="9">IF(L15="","",IF(K15*$M$9&gt;100000,100000*J15,L15*$M$9))</f>
        <v/>
      </c>
      <c r="O15" s="158"/>
      <c r="P15" s="155"/>
      <c r="Q15" s="155"/>
    </row>
    <row r="16" spans="1:19" ht="38.25" customHeight="1">
      <c r="A16" s="33" t="s">
        <v>134</v>
      </c>
      <c r="B16" s="30"/>
      <c r="C16" s="168"/>
      <c r="D16" s="168"/>
      <c r="E16" s="168"/>
      <c r="F16" s="184"/>
      <c r="G16" s="178"/>
      <c r="H16" s="178"/>
      <c r="I16" s="158"/>
      <c r="J16" s="30"/>
      <c r="K16" s="30"/>
      <c r="L16" s="31" t="str">
        <f t="shared" si="8"/>
        <v/>
      </c>
      <c r="M16" s="172"/>
      <c r="N16" s="31" t="str">
        <f t="shared" si="9"/>
        <v/>
      </c>
      <c r="O16" s="158"/>
      <c r="P16" s="155"/>
      <c r="Q16" s="155"/>
    </row>
    <row r="17" spans="1:19" ht="38.25" customHeight="1">
      <c r="A17" s="33" t="s">
        <v>135</v>
      </c>
      <c r="B17" s="30"/>
      <c r="C17" s="168"/>
      <c r="D17" s="168"/>
      <c r="E17" s="168"/>
      <c r="F17" s="184"/>
      <c r="G17" s="178"/>
      <c r="H17" s="178"/>
      <c r="I17" s="158"/>
      <c r="J17" s="30"/>
      <c r="K17" s="30"/>
      <c r="L17" s="31" t="str">
        <f t="shared" si="8"/>
        <v/>
      </c>
      <c r="M17" s="172"/>
      <c r="N17" s="31" t="str">
        <f t="shared" si="9"/>
        <v/>
      </c>
      <c r="O17" s="158"/>
      <c r="P17" s="155"/>
      <c r="Q17" s="155"/>
    </row>
    <row r="18" spans="1:19" ht="38.25" customHeight="1">
      <c r="A18" s="32" t="s">
        <v>136</v>
      </c>
      <c r="B18" s="57"/>
      <c r="C18" s="169"/>
      <c r="D18" s="169"/>
      <c r="E18" s="169"/>
      <c r="F18" s="184"/>
      <c r="G18" s="179"/>
      <c r="H18" s="179"/>
      <c r="I18" s="159"/>
      <c r="J18" s="34"/>
      <c r="K18" s="57"/>
      <c r="L18" s="55" t="str">
        <f t="shared" ref="L18:L19" si="10">IF(K18="","",K18)</f>
        <v/>
      </c>
      <c r="M18" s="172"/>
      <c r="N18" s="55" t="str">
        <f t="shared" ref="N18:N19" si="11">IF(L18="","",L18*$M$9)</f>
        <v/>
      </c>
      <c r="O18" s="159"/>
      <c r="P18" s="156"/>
      <c r="Q18" s="156"/>
    </row>
    <row r="19" spans="1:19" ht="38.25" customHeight="1">
      <c r="A19" s="35" t="s">
        <v>19</v>
      </c>
      <c r="B19" s="20"/>
      <c r="C19" s="108"/>
      <c r="D19" s="21"/>
      <c r="E19" s="37"/>
      <c r="F19" s="184"/>
      <c r="G19" s="177"/>
      <c r="H19" s="177"/>
      <c r="I19" s="157" t="str">
        <f t="shared" ref="I19" si="12">IF(G19="","",G19-H19)</f>
        <v/>
      </c>
      <c r="J19" s="36"/>
      <c r="K19" s="20"/>
      <c r="L19" s="24" t="str">
        <f t="shared" si="10"/>
        <v/>
      </c>
      <c r="M19" s="172"/>
      <c r="N19" s="24" t="str">
        <f t="shared" si="11"/>
        <v/>
      </c>
      <c r="O19" s="157" t="str">
        <f t="shared" ref="O19" si="13">IF(K19="","",ROUNDDOWN(SUM(N19:N23),-3))</f>
        <v/>
      </c>
      <c r="P19" s="154" t="str">
        <f t="shared" ref="P19" si="14">IF(O19="","",IF(F19="",0,IF(E19="職員数により合計金額が変動しない",2500000,IF($F$9&lt;=10,1000000,IF($F$9&lt;=20,1500000,IF($F$9&lt;=30,2000000,2500000))))))</f>
        <v/>
      </c>
      <c r="Q19" s="154" t="str">
        <f t="shared" ref="Q19" si="15">IF(P19="","",ROUNDDOWN(MIN(I19,O19,P19),-3))</f>
        <v/>
      </c>
      <c r="R19" s="9" t="str">
        <f>CONCATENATE(A19,D19)</f>
        <v>介護ソフト</v>
      </c>
      <c r="S19" s="9" t="str">
        <f>IF(D19="","",IF(R19="","",COUNTIF($R$9:$R$23,R19)))</f>
        <v/>
      </c>
    </row>
    <row r="20" spans="1:19" ht="38.25" customHeight="1">
      <c r="A20" s="33" t="s">
        <v>133</v>
      </c>
      <c r="B20" s="30"/>
      <c r="C20" s="167"/>
      <c r="D20" s="167"/>
      <c r="E20" s="167"/>
      <c r="F20" s="184"/>
      <c r="G20" s="178"/>
      <c r="H20" s="178"/>
      <c r="I20" s="158"/>
      <c r="J20" s="30"/>
      <c r="K20" s="30"/>
      <c r="L20" s="31" t="str">
        <f t="shared" ref="L20" si="16">IF(J20="","",J20*K20)</f>
        <v/>
      </c>
      <c r="M20" s="172"/>
      <c r="N20" s="31" t="str">
        <f t="shared" ref="N20" si="17">IF(L20="","",IF(K20*$M$9&gt;100000,100000*J20,L20*$M$9))</f>
        <v/>
      </c>
      <c r="O20" s="158"/>
      <c r="P20" s="155"/>
      <c r="Q20" s="155"/>
    </row>
    <row r="21" spans="1:19" ht="38.25" customHeight="1">
      <c r="A21" s="33" t="s">
        <v>134</v>
      </c>
      <c r="B21" s="30"/>
      <c r="C21" s="168"/>
      <c r="D21" s="168"/>
      <c r="E21" s="168"/>
      <c r="F21" s="184"/>
      <c r="G21" s="178"/>
      <c r="H21" s="178"/>
      <c r="I21" s="158"/>
      <c r="J21" s="30"/>
      <c r="K21" s="30"/>
      <c r="L21" s="31" t="str">
        <f t="shared" si="8"/>
        <v/>
      </c>
      <c r="M21" s="172"/>
      <c r="N21" s="31" t="str">
        <f t="shared" si="9"/>
        <v/>
      </c>
      <c r="O21" s="158"/>
      <c r="P21" s="155"/>
      <c r="Q21" s="155"/>
    </row>
    <row r="22" spans="1:19" ht="38.25" customHeight="1">
      <c r="A22" s="33" t="s">
        <v>135</v>
      </c>
      <c r="B22" s="30"/>
      <c r="C22" s="168"/>
      <c r="D22" s="168"/>
      <c r="E22" s="168"/>
      <c r="F22" s="184"/>
      <c r="G22" s="178"/>
      <c r="H22" s="178"/>
      <c r="I22" s="158"/>
      <c r="J22" s="30"/>
      <c r="K22" s="30"/>
      <c r="L22" s="31" t="str">
        <f t="shared" si="8"/>
        <v/>
      </c>
      <c r="M22" s="172"/>
      <c r="N22" s="31" t="str">
        <f t="shared" si="9"/>
        <v/>
      </c>
      <c r="O22" s="158"/>
      <c r="P22" s="155"/>
      <c r="Q22" s="155"/>
    </row>
    <row r="23" spans="1:19" ht="38.25" customHeight="1">
      <c r="A23" s="32" t="s">
        <v>136</v>
      </c>
      <c r="B23" s="57"/>
      <c r="C23" s="169"/>
      <c r="D23" s="169"/>
      <c r="E23" s="169"/>
      <c r="F23" s="185"/>
      <c r="G23" s="179"/>
      <c r="H23" s="179"/>
      <c r="I23" s="159"/>
      <c r="J23" s="34"/>
      <c r="K23" s="57"/>
      <c r="L23" s="55" t="str">
        <f t="shared" ref="L23" si="18">IF(K23="","",K23)</f>
        <v/>
      </c>
      <c r="M23" s="173"/>
      <c r="N23" s="55" t="str">
        <f t="shared" ref="N23" si="19">IF(L23="","",L23*$M$9)</f>
        <v/>
      </c>
      <c r="O23" s="159"/>
      <c r="P23" s="156"/>
      <c r="Q23" s="156"/>
    </row>
    <row r="24" spans="1:19">
      <c r="A24" s="39"/>
      <c r="B24" s="39"/>
      <c r="C24" s="39"/>
      <c r="D24" s="39"/>
      <c r="E24" s="39"/>
      <c r="F24" s="38" t="s">
        <v>16</v>
      </c>
      <c r="G24" s="16">
        <f t="shared" ref="G24:I24" si="20">SUM(G9:G23)</f>
        <v>4400000</v>
      </c>
      <c r="H24" s="16">
        <f t="shared" si="20"/>
        <v>0</v>
      </c>
      <c r="I24" s="16">
        <f t="shared" si="20"/>
        <v>4400000</v>
      </c>
      <c r="J24" s="16"/>
      <c r="K24" s="16"/>
      <c r="L24" s="16">
        <f t="shared" ref="L24:P24" si="21">SUM(L9:L23)</f>
        <v>4400000</v>
      </c>
      <c r="M24" s="19"/>
      <c r="N24" s="16">
        <f t="shared" ref="N24" si="22">SUM(N9:N23)</f>
        <v>3050000</v>
      </c>
      <c r="O24" s="16">
        <f t="shared" si="21"/>
        <v>3050000</v>
      </c>
      <c r="P24" s="16">
        <f t="shared" si="21"/>
        <v>2500000</v>
      </c>
      <c r="Q24" s="16">
        <f>SUM(Q9:Q23)</f>
        <v>2500000</v>
      </c>
      <c r="S24" s="9">
        <f>SUM(S9:S23)</f>
        <v>1</v>
      </c>
    </row>
    <row r="25" spans="1:19" ht="37.65" customHeight="1">
      <c r="A25" s="29" t="str">
        <f>IF(S24&gt;3,"！同一の使用目的で補助できる機種は1種類限りです！","")</f>
        <v/>
      </c>
    </row>
    <row r="26" spans="1:19" ht="37.65" customHeight="1"/>
    <row r="27" spans="1:19" ht="37.65" customHeight="1"/>
    <row r="28" spans="1:19" ht="37.65" customHeight="1"/>
    <row r="29" spans="1:19" ht="37.65" customHeight="1"/>
  </sheetData>
  <sheetProtection algorithmName="SHA-512" hashValue="/g609Od0wwGqqgrJKDWH91oLGpkBTQ3tAm5Oe5fmy2Ypn85MZ/TzQTfuPeeNyRFgZCLAmBY1ESIObylyBjmXDQ==" saltValue="dfOIbBuMu4W5IWXDcW0RUQ==" spinCount="100000" sheet="1" objects="1" scenarios="1"/>
  <mergeCells count="34">
    <mergeCell ref="Q9:Q13"/>
    <mergeCell ref="D10:D13"/>
    <mergeCell ref="E10:E13"/>
    <mergeCell ref="F9:F23"/>
    <mergeCell ref="G9:G13"/>
    <mergeCell ref="H9:H13"/>
    <mergeCell ref="O1:Q1"/>
    <mergeCell ref="O2:Q2"/>
    <mergeCell ref="O3:Q3"/>
    <mergeCell ref="O4:Q4"/>
    <mergeCell ref="O5:Q5"/>
    <mergeCell ref="O14:O18"/>
    <mergeCell ref="P14:P18"/>
    <mergeCell ref="C10:C13"/>
    <mergeCell ref="C15:C18"/>
    <mergeCell ref="C20:C23"/>
    <mergeCell ref="O9:O13"/>
    <mergeCell ref="P9:P13"/>
    <mergeCell ref="I9:I13"/>
    <mergeCell ref="M9:M23"/>
    <mergeCell ref="E20:E23"/>
    <mergeCell ref="Q14:Q18"/>
    <mergeCell ref="D15:D18"/>
    <mergeCell ref="E15:E18"/>
    <mergeCell ref="G19:G23"/>
    <mergeCell ref="H19:H23"/>
    <mergeCell ref="I19:I23"/>
    <mergeCell ref="O19:O23"/>
    <mergeCell ref="P19:P23"/>
    <mergeCell ref="Q19:Q23"/>
    <mergeCell ref="D20:D23"/>
    <mergeCell ref="G14:G18"/>
    <mergeCell ref="H14:H18"/>
    <mergeCell ref="I14:I18"/>
  </mergeCells>
  <phoneticPr fontId="1"/>
  <conditionalFormatting sqref="L9:M9 L13:M13 L14 M14:M23 L18:L19 L23">
    <cfRule type="expression" dxfId="3" priority="1">
      <formula>$L9="台数上限を超えています"</formula>
    </cfRule>
  </conditionalFormatting>
  <dataValidations count="4">
    <dataValidation allowBlank="1" showInputMessage="1" showErrorMessage="1" prompt="情報端末の1台あたりの金額に補助率3/4を乗じて10万円を超える場合、10万円までが補助対象額となります。" sqref="K20:K22 K15:K17 K10:K12" xr:uid="{4BEDE714-97DC-434C-88E2-DC477E1BA6C7}"/>
    <dataValidation type="list" allowBlank="1" showInputMessage="1" sqref="A9:A23" xr:uid="{39E00B59-9E59-47BD-8EFE-58CF8C84AD0D}">
      <formula1>"移乗支援（装着）,移乗支援（非装着）,移動支援（屋外）,移動支援（屋内）,移動支援（装着）,排泄支援（排泄物処理）,排泄物（排泄予測、検知）,排泄支援（動作支援）,見守り・コミュニケーション（施設）,見守り・コミュニケーション（在宅）,見守り・コミュニケーション（コミュニケーション）,入浴支援,介護業務支援,機能訓練支援,食事・栄養管理支援,認知症生活支援・認知症ケア支援"</formula1>
    </dataValidation>
    <dataValidation type="list" allowBlank="1" showInputMessage="1" showErrorMessage="1" sqref="E9 E14 E19" xr:uid="{EBF6CA3D-5250-4BC6-A853-E205E38B5426}">
      <formula1>"職員数により合計金額が変動する,職員数により合計金額が変動しない"</formula1>
    </dataValidation>
    <dataValidation type="list" allowBlank="1" showInputMessage="1" showErrorMessage="1" sqref="C9 C14 C19" xr:uid="{565BFB9B-3EC5-4E04-83AE-1203D0F5192B}">
      <formula1>"有,無"</formula1>
    </dataValidation>
  </dataValidations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その他を選択した場合は、（）内に具体的な使用目的を記載してください。" xr:uid="{CA82BD0E-9D76-4220-A12B-6BB4A346E01A}">
          <x14:formula1>
            <xm:f>データリスト!$C$3:$C$10</xm:f>
          </x14:formula1>
          <xm:sqref>D9 D14 D19</xm:sqref>
        </x14:dataValidation>
        <x14:dataValidation type="list" allowBlank="1" showInputMessage="1" showErrorMessage="1" xr:uid="{90DB77B4-B0F4-45B0-8580-143FC92DDEE8}">
          <x14:formula1>
            <xm:f>データリスト!$A$2:$A$53</xm:f>
          </x14:formula1>
          <xm:sqref>O4:Q4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542D-7CD7-4839-A160-ECCF5A7E1A28}">
  <sheetPr codeName="Sheet9"/>
  <dimension ref="A1:Q19"/>
  <sheetViews>
    <sheetView view="pageBreakPreview" zoomScale="90" zoomScaleNormal="70" zoomScaleSheetLayoutView="90" workbookViewId="0">
      <selection activeCell="E27" sqref="E27"/>
    </sheetView>
  </sheetViews>
  <sheetFormatPr defaultColWidth="8.83203125" defaultRowHeight="18"/>
  <cols>
    <col min="1" max="1" width="5.4140625" style="9" customWidth="1"/>
    <col min="2" max="2" width="26.08203125" style="9" bestFit="1" customWidth="1"/>
    <col min="3" max="3" width="46.08203125" style="9" customWidth="1"/>
    <col min="4" max="4" width="6.83203125" style="9" bestFit="1" customWidth="1"/>
    <col min="5" max="7" width="13.58203125" style="9" customWidth="1"/>
    <col min="8" max="9" width="8.58203125" style="9" bestFit="1" customWidth="1"/>
    <col min="10" max="10" width="13" style="9" customWidth="1"/>
    <col min="11" max="11" width="21.83203125" style="9" customWidth="1"/>
    <col min="12" max="12" width="6.83203125" style="9" bestFit="1" customWidth="1"/>
    <col min="13" max="14" width="13" style="9" customWidth="1"/>
    <col min="15" max="15" width="13.33203125" style="9" customWidth="1"/>
    <col min="16" max="16" width="11.9140625" style="9" customWidth="1"/>
    <col min="17" max="17" width="5.6640625" style="9" customWidth="1"/>
    <col min="18" max="16384" width="8.83203125" style="9"/>
  </cols>
  <sheetData>
    <row r="1" spans="1:17">
      <c r="A1" s="9" t="s">
        <v>18</v>
      </c>
      <c r="L1" s="12" t="s">
        <v>30</v>
      </c>
      <c r="M1" s="176"/>
      <c r="N1" s="176"/>
      <c r="O1" s="176"/>
    </row>
    <row r="2" spans="1:17">
      <c r="A2" s="9" t="s">
        <v>2</v>
      </c>
      <c r="L2" s="12" t="s">
        <v>31</v>
      </c>
      <c r="M2" s="175"/>
      <c r="N2" s="175"/>
      <c r="O2" s="175"/>
    </row>
    <row r="3" spans="1:17">
      <c r="L3" s="12" t="s">
        <v>32</v>
      </c>
      <c r="M3" s="175"/>
      <c r="N3" s="175"/>
      <c r="O3" s="175"/>
    </row>
    <row r="4" spans="1:17" ht="26.5">
      <c r="A4" s="10" t="s">
        <v>5</v>
      </c>
      <c r="B4" s="10" t="s">
        <v>17</v>
      </c>
      <c r="C4" s="110" t="str">
        <f>IF(COUNTA(B9:B13)&gt;0,"※その他区分による申請をする場合、別紙１－４を提出。","")</f>
        <v/>
      </c>
      <c r="L4" s="12" t="s">
        <v>33</v>
      </c>
      <c r="M4" s="174"/>
      <c r="N4" s="174"/>
      <c r="O4" s="174"/>
    </row>
    <row r="5" spans="1:17">
      <c r="L5" s="12" t="s">
        <v>34</v>
      </c>
      <c r="M5" s="175"/>
      <c r="N5" s="175"/>
      <c r="O5" s="175"/>
    </row>
    <row r="6" spans="1:17" ht="40" customHeight="1">
      <c r="B6" s="83" t="s">
        <v>201</v>
      </c>
      <c r="E6" s="43" t="s">
        <v>144</v>
      </c>
      <c r="F6" s="43" t="s">
        <v>145</v>
      </c>
      <c r="G6" s="43" t="s">
        <v>146</v>
      </c>
      <c r="H6" s="43"/>
      <c r="I6" s="43" t="s">
        <v>147</v>
      </c>
      <c r="J6" s="43" t="s">
        <v>148</v>
      </c>
      <c r="K6" s="43" t="s">
        <v>149</v>
      </c>
      <c r="L6" s="43"/>
      <c r="M6" s="43" t="s">
        <v>150</v>
      </c>
      <c r="N6" s="43" t="s">
        <v>151</v>
      </c>
      <c r="O6" s="49" t="s">
        <v>164</v>
      </c>
    </row>
    <row r="7" spans="1:17" s="4" customFormat="1" ht="54" customHeight="1">
      <c r="A7" s="92"/>
      <c r="B7" s="92" t="s">
        <v>0</v>
      </c>
      <c r="C7" s="92" t="s">
        <v>28</v>
      </c>
      <c r="D7" s="92" t="s">
        <v>15</v>
      </c>
      <c r="E7" s="92" t="s">
        <v>153</v>
      </c>
      <c r="F7" s="100" t="s">
        <v>154</v>
      </c>
      <c r="G7" s="92" t="s">
        <v>155</v>
      </c>
      <c r="H7" s="92" t="s">
        <v>13</v>
      </c>
      <c r="I7" s="92" t="s">
        <v>11</v>
      </c>
      <c r="J7" s="92" t="s">
        <v>142</v>
      </c>
      <c r="K7" s="92" t="s">
        <v>10</v>
      </c>
      <c r="L7" s="92" t="s">
        <v>12</v>
      </c>
      <c r="M7" s="92" t="s">
        <v>160</v>
      </c>
      <c r="N7" s="92" t="s">
        <v>129</v>
      </c>
      <c r="O7" s="92" t="s">
        <v>180</v>
      </c>
    </row>
    <row r="8" spans="1:17" s="4" customFormat="1" ht="18" customHeight="1">
      <c r="A8" s="97"/>
      <c r="B8" s="99"/>
      <c r="C8" s="99"/>
      <c r="D8" s="99" t="s">
        <v>210</v>
      </c>
      <c r="E8" s="97" t="s">
        <v>211</v>
      </c>
      <c r="F8" s="97" t="s">
        <v>211</v>
      </c>
      <c r="G8" s="97" t="s">
        <v>211</v>
      </c>
      <c r="H8" s="99" t="s">
        <v>212</v>
      </c>
      <c r="I8" s="99" t="s">
        <v>212</v>
      </c>
      <c r="J8" s="97" t="s">
        <v>211</v>
      </c>
      <c r="K8" s="97" t="s">
        <v>211</v>
      </c>
      <c r="L8" s="99"/>
      <c r="M8" s="97" t="s">
        <v>211</v>
      </c>
      <c r="N8" s="97" t="s">
        <v>211</v>
      </c>
      <c r="O8" s="97" t="s">
        <v>211</v>
      </c>
    </row>
    <row r="9" spans="1:17" ht="38.25" customHeight="1">
      <c r="A9" s="163" t="s">
        <v>17</v>
      </c>
      <c r="B9" s="123"/>
      <c r="C9" s="125"/>
      <c r="D9" s="160"/>
      <c r="E9" s="130"/>
      <c r="F9" s="130"/>
      <c r="G9" s="44" t="str">
        <f>IF(E9="","",E9-F9)</f>
        <v/>
      </c>
      <c r="H9" s="154" t="str">
        <f>IF(D9="","",ROUNDUP(D9*0.2,0))</f>
        <v/>
      </c>
      <c r="I9" s="123"/>
      <c r="J9" s="123"/>
      <c r="K9" s="24" t="str">
        <f>IF(I9="","",IF($H$9&lt;I9,"台数上限を超えています",I9*J9))</f>
        <v/>
      </c>
      <c r="L9" s="171">
        <v>0.75</v>
      </c>
      <c r="M9" s="28" t="str">
        <f>IF(K9="","",IF($H$9&lt;I9,"",ROUNDDOWN(K9*$L$9,-3)))</f>
        <v/>
      </c>
      <c r="N9" s="28" t="str">
        <f>IF(M9="","",IF($H$9&lt;I9,"",IF(I9="",0,I9*1000000)))</f>
        <v/>
      </c>
      <c r="O9" s="28" t="str">
        <f>IF(N9="","",IF($H$9&lt;I9,"",ROUNDDOWN(MIN(G9,M9,N9),-3)))</f>
        <v/>
      </c>
      <c r="P9" s="9">
        <f>COUNTIF($C$9:$C$13,C9)</f>
        <v>0</v>
      </c>
      <c r="Q9" s="9">
        <f>IF(P9&gt;1,1,0)</f>
        <v>0</v>
      </c>
    </row>
    <row r="10" spans="1:17" ht="38.25" customHeight="1">
      <c r="A10" s="163"/>
      <c r="B10" s="123"/>
      <c r="C10" s="125"/>
      <c r="D10" s="161"/>
      <c r="E10" s="130"/>
      <c r="F10" s="130"/>
      <c r="G10" s="44" t="str">
        <f t="shared" ref="G10:G13" si="0">IF(E10="","",E10-F10)</f>
        <v/>
      </c>
      <c r="H10" s="155"/>
      <c r="I10" s="123"/>
      <c r="J10" s="123"/>
      <c r="K10" s="24" t="str">
        <f t="shared" ref="K10:K13" si="1">IF(I10="","",IF($H$9&lt;I10,"台数上限を超えています",I10*J10))</f>
        <v/>
      </c>
      <c r="L10" s="172"/>
      <c r="M10" s="40" t="str">
        <f t="shared" ref="M10:M13" si="2">IF(K10="","",IF($H$9&lt;I10,"",ROUNDDOWN(K10*$L$9,-3)))</f>
        <v/>
      </c>
      <c r="N10" s="40" t="str">
        <f t="shared" ref="N10:N13" si="3">IF(M10="","",IF($H$9&lt;I10,"",IF(I10="",0,I10*1000000)))</f>
        <v/>
      </c>
      <c r="O10" s="52" t="str">
        <f t="shared" ref="O10:O13" si="4">IF(N10="","",IF($H$9&lt;I10,"",ROUNDDOWN(MIN(G10,M10,N10),-3)))</f>
        <v/>
      </c>
      <c r="P10" s="9">
        <f>COUNTIF($C$9:$C$13,C10)</f>
        <v>0</v>
      </c>
      <c r="Q10" s="9">
        <f t="shared" ref="Q10:Q13" si="5">IF(P10&gt;1,1,0)</f>
        <v>0</v>
      </c>
    </row>
    <row r="11" spans="1:17" ht="38.25" customHeight="1">
      <c r="A11" s="163"/>
      <c r="B11" s="123"/>
      <c r="C11" s="125"/>
      <c r="D11" s="161"/>
      <c r="E11" s="130"/>
      <c r="F11" s="130"/>
      <c r="G11" s="44" t="str">
        <f t="shared" si="0"/>
        <v/>
      </c>
      <c r="H11" s="155"/>
      <c r="I11" s="123"/>
      <c r="J11" s="123"/>
      <c r="K11" s="24" t="str">
        <f t="shared" si="1"/>
        <v/>
      </c>
      <c r="L11" s="172"/>
      <c r="M11" s="40" t="str">
        <f t="shared" si="2"/>
        <v/>
      </c>
      <c r="N11" s="40" t="str">
        <f t="shared" si="3"/>
        <v/>
      </c>
      <c r="O11" s="52" t="str">
        <f t="shared" si="4"/>
        <v/>
      </c>
      <c r="P11" s="9">
        <f>COUNTIF($C$9:$C$13,C11)</f>
        <v>0</v>
      </c>
      <c r="Q11" s="9">
        <f t="shared" si="5"/>
        <v>0</v>
      </c>
    </row>
    <row r="12" spans="1:17" ht="38.25" customHeight="1">
      <c r="A12" s="163"/>
      <c r="B12" s="123"/>
      <c r="C12" s="125"/>
      <c r="D12" s="161"/>
      <c r="E12" s="130"/>
      <c r="F12" s="130"/>
      <c r="G12" s="44" t="str">
        <f t="shared" si="0"/>
        <v/>
      </c>
      <c r="H12" s="155"/>
      <c r="I12" s="123"/>
      <c r="J12" s="123"/>
      <c r="K12" s="24" t="str">
        <f t="shared" si="1"/>
        <v/>
      </c>
      <c r="L12" s="172"/>
      <c r="M12" s="40" t="str">
        <f t="shared" si="2"/>
        <v/>
      </c>
      <c r="N12" s="40" t="str">
        <f t="shared" si="3"/>
        <v/>
      </c>
      <c r="O12" s="52" t="str">
        <f t="shared" si="4"/>
        <v/>
      </c>
      <c r="P12" s="9">
        <f>COUNTIF($C$9:$C$13,C12)</f>
        <v>0</v>
      </c>
      <c r="Q12" s="9">
        <f t="shared" si="5"/>
        <v>0</v>
      </c>
    </row>
    <row r="13" spans="1:17" ht="38.25" customHeight="1">
      <c r="A13" s="163"/>
      <c r="B13" s="123"/>
      <c r="C13" s="125"/>
      <c r="D13" s="161"/>
      <c r="E13" s="130"/>
      <c r="F13" s="130"/>
      <c r="G13" s="44" t="str">
        <f t="shared" si="0"/>
        <v/>
      </c>
      <c r="H13" s="155"/>
      <c r="I13" s="123"/>
      <c r="J13" s="123"/>
      <c r="K13" s="24" t="str">
        <f t="shared" si="1"/>
        <v/>
      </c>
      <c r="L13" s="172"/>
      <c r="M13" s="40" t="str">
        <f t="shared" si="2"/>
        <v/>
      </c>
      <c r="N13" s="40" t="str">
        <f t="shared" si="3"/>
        <v/>
      </c>
      <c r="O13" s="52" t="str">
        <f t="shared" si="4"/>
        <v/>
      </c>
      <c r="P13" s="9">
        <f>COUNTIF($C$9:$C$13,C13)</f>
        <v>0</v>
      </c>
      <c r="Q13" s="9">
        <f t="shared" si="5"/>
        <v>0</v>
      </c>
    </row>
    <row r="14" spans="1:17">
      <c r="A14" s="170" t="s">
        <v>16</v>
      </c>
      <c r="B14" s="170"/>
      <c r="C14" s="170"/>
      <c r="D14" s="170"/>
      <c r="E14" s="42">
        <f>SUM(E9:E13)</f>
        <v>0</v>
      </c>
      <c r="F14" s="56">
        <f t="shared" ref="F14:G14" si="6">SUM(F9:F13)</f>
        <v>0</v>
      </c>
      <c r="G14" s="56">
        <f t="shared" si="6"/>
        <v>0</v>
      </c>
      <c r="H14" s="19"/>
      <c r="I14" s="16"/>
      <c r="J14" s="16"/>
      <c r="K14" s="16">
        <f>SUM(K9:K13)</f>
        <v>0</v>
      </c>
      <c r="L14" s="19"/>
      <c r="M14" s="16">
        <f>SUM(M9:M13)</f>
        <v>0</v>
      </c>
      <c r="N14" s="16">
        <f>SUM(N9:N13)</f>
        <v>0</v>
      </c>
      <c r="O14" s="16">
        <f>SUM(O9:O13)</f>
        <v>0</v>
      </c>
      <c r="Q14" s="9">
        <f>SUM(Q9:Q13)</f>
        <v>0</v>
      </c>
    </row>
    <row r="15" spans="1:17" ht="37.65" customHeight="1">
      <c r="B15" s="29" t="str">
        <f>IF(Q14&gt;1,"！同一の使用目的で補助できる機種は1種類限りです！","")</f>
        <v/>
      </c>
    </row>
    <row r="16" spans="1:17" ht="37.65" customHeight="1"/>
    <row r="17" ht="37.65" customHeight="1"/>
    <row r="18" ht="37.65" customHeight="1"/>
    <row r="19" ht="37.65" customHeight="1"/>
  </sheetData>
  <sheetProtection algorithmName="SHA-512" hashValue="dMStOsW9yYXLQOWj5Z8ou74xIaYo0yC8WcnAZLCr9fYfjXe7qX3k2QMn8B05B7beRJr09B9w+g40o03c+I/V+g==" saltValue="sAa5PVE804dWhZzVDcbwbQ==" spinCount="100000" sheet="1" objects="1" scenarios="1"/>
  <mergeCells count="10">
    <mergeCell ref="A14:D14"/>
    <mergeCell ref="L9:L13"/>
    <mergeCell ref="M1:O1"/>
    <mergeCell ref="M2:O2"/>
    <mergeCell ref="M3:O3"/>
    <mergeCell ref="M4:O4"/>
    <mergeCell ref="M5:O5"/>
    <mergeCell ref="A9:A13"/>
    <mergeCell ref="D9:D13"/>
    <mergeCell ref="H9:H13"/>
  </mergeCells>
  <phoneticPr fontId="1"/>
  <conditionalFormatting sqref="K9:K13">
    <cfRule type="expression" dxfId="2" priority="1">
      <formula>$K9="台数上限を超えています"</formula>
    </cfRule>
  </conditionalFormatting>
  <hyperlinks>
    <hyperlink ref="B6" location="事前設定シート!A1" display="事前設定シートへ戻る" xr:uid="{5E0F280D-A18A-43A7-B8CA-8E7332C39481}"/>
  </hyperlink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その他を選択した場合は、（）内に具体的な使用目的を記載してください。" xr:uid="{82750E3E-374E-470E-809E-D9B20CF08A51}">
          <x14:formula1>
            <xm:f>データリスト!$C$3:$C$10</xm:f>
          </x14:formula1>
          <xm:sqref>C9:C13</xm:sqref>
        </x14:dataValidation>
        <x14:dataValidation type="list" allowBlank="1" showInputMessage="1" showErrorMessage="1" xr:uid="{E83BDB6C-DBC6-4D35-BA22-E1A943492094}">
          <x14:formula1>
            <xm:f>データリスト!$A$2:$A$53</xm:f>
          </x14:formula1>
          <xm:sqref>M4:O4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2D65-0884-4F7D-B155-AD24BAAA036F}">
  <sheetPr codeName="Sheet10"/>
  <dimension ref="A1:Q19"/>
  <sheetViews>
    <sheetView view="pageBreakPreview" zoomScale="90" zoomScaleNormal="70" zoomScaleSheetLayoutView="90" workbookViewId="0">
      <selection activeCell="H25" sqref="H25"/>
    </sheetView>
  </sheetViews>
  <sheetFormatPr defaultColWidth="8.83203125" defaultRowHeight="18"/>
  <cols>
    <col min="1" max="1" width="5.4140625" style="9" customWidth="1"/>
    <col min="2" max="2" width="26.08203125" style="9" bestFit="1" customWidth="1"/>
    <col min="3" max="3" width="46.08203125" style="9" customWidth="1"/>
    <col min="4" max="4" width="6.83203125" style="9" bestFit="1" customWidth="1"/>
    <col min="5" max="7" width="13.58203125" style="9" customWidth="1"/>
    <col min="8" max="9" width="8.58203125" style="9" bestFit="1" customWidth="1"/>
    <col min="10" max="10" width="13" style="9" customWidth="1"/>
    <col min="11" max="11" width="21.83203125" style="9" customWidth="1"/>
    <col min="12" max="12" width="6.83203125" style="9" bestFit="1" customWidth="1"/>
    <col min="13" max="14" width="13" style="9" customWidth="1"/>
    <col min="15" max="15" width="13.33203125" style="9" customWidth="1"/>
    <col min="16" max="16" width="11.9140625" style="9" customWidth="1"/>
    <col min="17" max="17" width="5.6640625" style="9" customWidth="1"/>
    <col min="18" max="16384" width="8.83203125" style="9"/>
  </cols>
  <sheetData>
    <row r="1" spans="1:17">
      <c r="A1" s="9" t="s">
        <v>18</v>
      </c>
      <c r="L1" s="12" t="s">
        <v>30</v>
      </c>
      <c r="M1" s="180"/>
      <c r="N1" s="180"/>
      <c r="O1" s="180"/>
    </row>
    <row r="2" spans="1:17">
      <c r="A2" s="9" t="s">
        <v>2</v>
      </c>
      <c r="L2" s="12" t="s">
        <v>31</v>
      </c>
      <c r="M2" s="181"/>
      <c r="N2" s="181"/>
      <c r="O2" s="181"/>
    </row>
    <row r="3" spans="1:17">
      <c r="L3" s="12" t="s">
        <v>32</v>
      </c>
      <c r="M3" s="181"/>
      <c r="N3" s="181"/>
      <c r="O3" s="181"/>
    </row>
    <row r="4" spans="1:17" ht="26.5">
      <c r="A4" s="10" t="s">
        <v>5</v>
      </c>
      <c r="B4" s="10" t="s">
        <v>17</v>
      </c>
      <c r="C4" s="110" t="str">
        <f>IF(COUNTA(B9:B13)&gt;0,"※その他区分による申請をする場合、別紙１－４を提出。","")</f>
        <v>※その他区分による申請をする場合、別紙１－４を提出。</v>
      </c>
      <c r="L4" s="12" t="s">
        <v>33</v>
      </c>
      <c r="M4" s="182"/>
      <c r="N4" s="182"/>
      <c r="O4" s="182"/>
    </row>
    <row r="5" spans="1:17">
      <c r="L5" s="12" t="s">
        <v>34</v>
      </c>
      <c r="M5" s="181"/>
      <c r="N5" s="181"/>
      <c r="O5" s="181"/>
    </row>
    <row r="6" spans="1:17" ht="40" customHeight="1">
      <c r="E6" s="58" t="s">
        <v>144</v>
      </c>
      <c r="F6" s="58" t="s">
        <v>145</v>
      </c>
      <c r="G6" s="58" t="s">
        <v>146</v>
      </c>
      <c r="H6" s="58"/>
      <c r="I6" s="58" t="s">
        <v>147</v>
      </c>
      <c r="J6" s="58" t="s">
        <v>148</v>
      </c>
      <c r="K6" s="58" t="s">
        <v>149</v>
      </c>
      <c r="L6" s="58"/>
      <c r="M6" s="58" t="s">
        <v>150</v>
      </c>
      <c r="N6" s="58" t="s">
        <v>151</v>
      </c>
      <c r="O6" s="49" t="s">
        <v>164</v>
      </c>
    </row>
    <row r="7" spans="1:17" s="4" customFormat="1" ht="54" customHeight="1">
      <c r="A7" s="92"/>
      <c r="B7" s="92" t="s">
        <v>0</v>
      </c>
      <c r="C7" s="92" t="s">
        <v>28</v>
      </c>
      <c r="D7" s="92" t="s">
        <v>15</v>
      </c>
      <c r="E7" s="92" t="s">
        <v>143</v>
      </c>
      <c r="F7" s="100" t="s">
        <v>154</v>
      </c>
      <c r="G7" s="92" t="s">
        <v>131</v>
      </c>
      <c r="H7" s="92" t="s">
        <v>13</v>
      </c>
      <c r="I7" s="92" t="s">
        <v>11</v>
      </c>
      <c r="J7" s="92" t="s">
        <v>142</v>
      </c>
      <c r="K7" s="92" t="s">
        <v>10</v>
      </c>
      <c r="L7" s="92" t="s">
        <v>12</v>
      </c>
      <c r="M7" s="92" t="s">
        <v>160</v>
      </c>
      <c r="N7" s="92" t="s">
        <v>129</v>
      </c>
      <c r="O7" s="92" t="s">
        <v>180</v>
      </c>
    </row>
    <row r="8" spans="1:17" s="4" customFormat="1" ht="18" customHeight="1">
      <c r="A8" s="97"/>
      <c r="B8" s="99"/>
      <c r="C8" s="99"/>
      <c r="D8" s="99" t="s">
        <v>210</v>
      </c>
      <c r="E8" s="97" t="s">
        <v>211</v>
      </c>
      <c r="F8" s="97" t="s">
        <v>211</v>
      </c>
      <c r="G8" s="97" t="s">
        <v>211</v>
      </c>
      <c r="H8" s="99" t="s">
        <v>212</v>
      </c>
      <c r="I8" s="99" t="s">
        <v>212</v>
      </c>
      <c r="J8" s="97" t="s">
        <v>211</v>
      </c>
      <c r="K8" s="97" t="s">
        <v>211</v>
      </c>
      <c r="L8" s="99"/>
      <c r="M8" s="97" t="s">
        <v>211</v>
      </c>
      <c r="N8" s="97" t="s">
        <v>211</v>
      </c>
      <c r="O8" s="97" t="s">
        <v>211</v>
      </c>
    </row>
    <row r="9" spans="1:17" ht="38.25" customHeight="1">
      <c r="A9" s="163" t="s">
        <v>17</v>
      </c>
      <c r="B9" s="68" t="s">
        <v>195</v>
      </c>
      <c r="C9" s="63" t="s">
        <v>123</v>
      </c>
      <c r="D9" s="186">
        <v>50</v>
      </c>
      <c r="E9" s="69">
        <v>1000000</v>
      </c>
      <c r="F9" s="69">
        <v>0</v>
      </c>
      <c r="G9" s="44">
        <f>IF(E9="","",E9-F9)</f>
        <v>1000000</v>
      </c>
      <c r="H9" s="154">
        <f>IF(D9="","",ROUNDUP(D9*0.2,0))</f>
        <v>10</v>
      </c>
      <c r="I9" s="68">
        <v>10</v>
      </c>
      <c r="J9" s="68">
        <v>100000</v>
      </c>
      <c r="K9" s="24">
        <f>IF(I9="","",IF($H$9&lt;I9,"台数上限を超えています",I9*J9))</f>
        <v>1000000</v>
      </c>
      <c r="L9" s="171">
        <v>0.75</v>
      </c>
      <c r="M9" s="52">
        <f>IF(K9="","",IF($H$9&lt;I9,"",ROUNDDOWN(K9*$L$9,-3)))</f>
        <v>750000</v>
      </c>
      <c r="N9" s="52">
        <f>IF(M9="","",IF($H$9&lt;I9,"",IF(I9="",0,I9*1000000)))</f>
        <v>10000000</v>
      </c>
      <c r="O9" s="52">
        <f>IF(N9="","",IF($H$9&lt;I9,"",ROUNDDOWN(MIN(G9,M9,N9),-3)))</f>
        <v>750000</v>
      </c>
      <c r="P9" s="9">
        <f>COUNTIF($C$9:$C$13,C9)</f>
        <v>1</v>
      </c>
      <c r="Q9" s="9">
        <f>IF(P9&gt;1,1,0)</f>
        <v>0</v>
      </c>
    </row>
    <row r="10" spans="1:17" ht="38.25" customHeight="1">
      <c r="A10" s="163"/>
      <c r="B10" s="68" t="s">
        <v>196</v>
      </c>
      <c r="C10" s="63" t="s">
        <v>127</v>
      </c>
      <c r="D10" s="184"/>
      <c r="E10" s="69">
        <v>7500000</v>
      </c>
      <c r="F10" s="69">
        <v>0</v>
      </c>
      <c r="G10" s="44">
        <f t="shared" ref="G10:G13" si="0">IF(E10="","",E10-F10)</f>
        <v>7500000</v>
      </c>
      <c r="H10" s="155"/>
      <c r="I10" s="68">
        <v>5</v>
      </c>
      <c r="J10" s="68">
        <v>1500000</v>
      </c>
      <c r="K10" s="24">
        <f t="shared" ref="K10:K13" si="1">IF(I10="","",IF($H$9&lt;I10,"台数上限を超えています",I10*J10))</f>
        <v>7500000</v>
      </c>
      <c r="L10" s="172"/>
      <c r="M10" s="52">
        <f t="shared" ref="M10:M13" si="2">IF(K10="","",IF($H$9&lt;I10,"",ROUNDDOWN(K10*$L$9,-3)))</f>
        <v>5625000</v>
      </c>
      <c r="N10" s="52">
        <f t="shared" ref="N10:N13" si="3">IF(M10="","",IF($H$9&lt;I10,"",IF(I10="",0,I10*1000000)))</f>
        <v>5000000</v>
      </c>
      <c r="O10" s="52">
        <f t="shared" ref="O10:O13" si="4">IF(N10="","",IF($H$9&lt;I10,"",ROUNDDOWN(MIN(G10,M10,N10),-3)))</f>
        <v>5000000</v>
      </c>
      <c r="P10" s="9">
        <f>COUNTIF($C$9:$C$13,C10)</f>
        <v>1</v>
      </c>
      <c r="Q10" s="9">
        <f t="shared" ref="Q10:Q13" si="5">IF(P10&gt;1,1,0)</f>
        <v>0</v>
      </c>
    </row>
    <row r="11" spans="1:17" ht="38.25" customHeight="1">
      <c r="A11" s="163"/>
      <c r="B11" s="68"/>
      <c r="C11" s="63"/>
      <c r="D11" s="184"/>
      <c r="E11" s="69"/>
      <c r="F11" s="69"/>
      <c r="G11" s="44" t="str">
        <f t="shared" si="0"/>
        <v/>
      </c>
      <c r="H11" s="155"/>
      <c r="I11" s="68"/>
      <c r="J11" s="68"/>
      <c r="K11" s="24" t="str">
        <f t="shared" si="1"/>
        <v/>
      </c>
      <c r="L11" s="172"/>
      <c r="M11" s="52" t="str">
        <f t="shared" si="2"/>
        <v/>
      </c>
      <c r="N11" s="52" t="str">
        <f t="shared" si="3"/>
        <v/>
      </c>
      <c r="O11" s="52" t="str">
        <f t="shared" si="4"/>
        <v/>
      </c>
      <c r="P11" s="9">
        <f>COUNTIF($C$9:$C$13,C11)</f>
        <v>0</v>
      </c>
      <c r="Q11" s="9">
        <f t="shared" si="5"/>
        <v>0</v>
      </c>
    </row>
    <row r="12" spans="1:17" ht="38.25" customHeight="1">
      <c r="A12" s="163"/>
      <c r="B12" s="68"/>
      <c r="C12" s="63"/>
      <c r="D12" s="184"/>
      <c r="E12" s="69"/>
      <c r="F12" s="69"/>
      <c r="G12" s="44" t="str">
        <f t="shared" si="0"/>
        <v/>
      </c>
      <c r="H12" s="155"/>
      <c r="I12" s="68"/>
      <c r="J12" s="68"/>
      <c r="K12" s="24" t="str">
        <f t="shared" si="1"/>
        <v/>
      </c>
      <c r="L12" s="172"/>
      <c r="M12" s="52" t="str">
        <f t="shared" si="2"/>
        <v/>
      </c>
      <c r="N12" s="52" t="str">
        <f t="shared" si="3"/>
        <v/>
      </c>
      <c r="O12" s="52" t="str">
        <f t="shared" si="4"/>
        <v/>
      </c>
      <c r="P12" s="9">
        <f>COUNTIF($C$9:$C$13,C12)</f>
        <v>0</v>
      </c>
      <c r="Q12" s="9">
        <f t="shared" si="5"/>
        <v>0</v>
      </c>
    </row>
    <row r="13" spans="1:17" ht="38.25" customHeight="1">
      <c r="A13" s="163"/>
      <c r="B13" s="68"/>
      <c r="C13" s="63"/>
      <c r="D13" s="184"/>
      <c r="E13" s="69"/>
      <c r="F13" s="69"/>
      <c r="G13" s="44" t="str">
        <f t="shared" si="0"/>
        <v/>
      </c>
      <c r="H13" s="155"/>
      <c r="I13" s="68"/>
      <c r="J13" s="68"/>
      <c r="K13" s="24" t="str">
        <f t="shared" si="1"/>
        <v/>
      </c>
      <c r="L13" s="172"/>
      <c r="M13" s="52" t="str">
        <f t="shared" si="2"/>
        <v/>
      </c>
      <c r="N13" s="52" t="str">
        <f t="shared" si="3"/>
        <v/>
      </c>
      <c r="O13" s="52" t="str">
        <f t="shared" si="4"/>
        <v/>
      </c>
      <c r="P13" s="9">
        <f>COUNTIF($C$9:$C$13,C13)</f>
        <v>0</v>
      </c>
      <c r="Q13" s="9">
        <f t="shared" si="5"/>
        <v>0</v>
      </c>
    </row>
    <row r="14" spans="1:17">
      <c r="A14" s="170" t="s">
        <v>16</v>
      </c>
      <c r="B14" s="170"/>
      <c r="C14" s="170"/>
      <c r="D14" s="170"/>
      <c r="E14" s="56">
        <f>SUM(E9:E13)</f>
        <v>8500000</v>
      </c>
      <c r="F14" s="56">
        <f t="shared" ref="F14:G14" si="6">SUM(F9:F13)</f>
        <v>0</v>
      </c>
      <c r="G14" s="56">
        <f t="shared" si="6"/>
        <v>8500000</v>
      </c>
      <c r="H14" s="19"/>
      <c r="I14" s="16"/>
      <c r="J14" s="16"/>
      <c r="K14" s="16">
        <f>SUM(K9:K13)</f>
        <v>8500000</v>
      </c>
      <c r="L14" s="19"/>
      <c r="M14" s="16">
        <f>SUM(M9:M13)</f>
        <v>6375000</v>
      </c>
      <c r="N14" s="16">
        <f>SUM(N9:N13)</f>
        <v>15000000</v>
      </c>
      <c r="O14" s="16">
        <f>SUM(O9:O13)</f>
        <v>5750000</v>
      </c>
      <c r="Q14" s="9">
        <f>SUM(Q9:Q13)</f>
        <v>0</v>
      </c>
    </row>
    <row r="15" spans="1:17" ht="37.65" customHeight="1">
      <c r="B15" s="29" t="str">
        <f>IF(Q14&gt;1,"！同一の使用目的で補助できる機種は1種類限りです！","")</f>
        <v/>
      </c>
    </row>
    <row r="16" spans="1:17" ht="37.65" customHeight="1"/>
    <row r="17" ht="37.65" customHeight="1"/>
    <row r="18" ht="37.65" customHeight="1"/>
    <row r="19" ht="37.65" customHeight="1"/>
  </sheetData>
  <sheetProtection algorithmName="SHA-512" hashValue="4lKzFo0tVwARyCfMOjudU8Ms5Rqy7FwAU1pD2UyrcAxXvt72BiyRQMkv+aX0jE8ULOnvcaq8NtonvJnLCUwAHA==" saltValue="3eKTJhu0GDm+f4sbVuuqOw==" spinCount="100000" sheet="1" objects="1" scenarios="1"/>
  <mergeCells count="10">
    <mergeCell ref="A14:D14"/>
    <mergeCell ref="M1:O1"/>
    <mergeCell ref="M2:O2"/>
    <mergeCell ref="M3:O3"/>
    <mergeCell ref="M4:O4"/>
    <mergeCell ref="M5:O5"/>
    <mergeCell ref="A9:A13"/>
    <mergeCell ref="D9:D13"/>
    <mergeCell ref="H9:H13"/>
    <mergeCell ref="L9:L13"/>
  </mergeCells>
  <phoneticPr fontId="1"/>
  <conditionalFormatting sqref="K9:K13">
    <cfRule type="expression" dxfId="1" priority="1">
      <formula>$K9="台数上限を超えています"</formula>
    </cfRule>
  </conditionalFormatting>
  <pageMargins left="0.7" right="0.7" top="0.75" bottom="0.75" header="0.3" footer="0.3"/>
  <pageSetup paperSize="9" scale="2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4BBE47-9A86-42CF-95CD-0DCE895A1BFA}">
          <x14:formula1>
            <xm:f>データリスト!$A$2:$A$53</xm:f>
          </x14:formula1>
          <xm:sqref>M4:O4</xm:sqref>
        </x14:dataValidation>
        <x14:dataValidation type="list" allowBlank="1" showInputMessage="1" prompt="その他を選択した場合は、（）内に具体的な使用目的を記載してください。" xr:uid="{EE5EA36B-3E6E-46F0-A529-7F0E431FED33}">
          <x14:formula1>
            <xm:f>データリスト!$C$3:$C$10</xm:f>
          </x14:formula1>
          <xm:sqref>C9:C13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事前設定シート</vt:lpstr>
      <vt:lpstr>所要額調書①</vt:lpstr>
      <vt:lpstr>（記載例）所要額調書①</vt:lpstr>
      <vt:lpstr>所要額調書②</vt:lpstr>
      <vt:lpstr>（記載例）所要額調書②</vt:lpstr>
      <vt:lpstr>所要額調書③</vt:lpstr>
      <vt:lpstr>（記載例）所要額調書③</vt:lpstr>
      <vt:lpstr>所要額調書④</vt:lpstr>
      <vt:lpstr>（記載例）所要額調書④</vt:lpstr>
      <vt:lpstr>所要額調書⑤</vt:lpstr>
      <vt:lpstr>（記載例）所要額調書⑤</vt:lpstr>
      <vt:lpstr>所要額調書⑥</vt:lpstr>
      <vt:lpstr>（記載例）所要額調書⑥</vt:lpstr>
      <vt:lpstr>データリスト</vt:lpstr>
      <vt:lpstr>'（記載例）所要額調書①'!Print_Area</vt:lpstr>
      <vt:lpstr>'（記載例）所要額調書②'!Print_Area</vt:lpstr>
      <vt:lpstr>'（記載例）所要額調書③'!Print_Area</vt:lpstr>
      <vt:lpstr>'（記載例）所要額調書④'!Print_Area</vt:lpstr>
      <vt:lpstr>'（記載例）所要額調書⑤'!Print_Area</vt:lpstr>
      <vt:lpstr>事前設定シート!Print_Area</vt:lpstr>
      <vt:lpstr>所要額調書①!Print_Area</vt:lpstr>
      <vt:lpstr>所要額調書②!Print_Area</vt:lpstr>
      <vt:lpstr>所要額調書③!Print_Area</vt:lpstr>
      <vt:lpstr>所要額調書④!Print_Area</vt:lpstr>
      <vt:lpstr>所要額調書⑤!Print_Area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2025-07-22T04:34:55Z</dcterms:created>
  <dcterms:modified xsi:type="dcterms:W3CDTF">2025-07-22T04:40:17Z</dcterms:modified>
</cp:coreProperties>
</file>